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RAISE grant\"/>
    </mc:Choice>
  </mc:AlternateContent>
  <xr:revisionPtr revIDLastSave="0" documentId="8_{82AB1EF6-DC29-4CE9-8238-57F22A42EA56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Demo Pricing" sheetId="2" r:id="rId1"/>
    <sheet name="Excavation-Rock" sheetId="3" r:id="rId2"/>
    <sheet name="Concrete-Rebar" sheetId="4" r:id="rId3"/>
    <sheet name="Fencing" sheetId="5" r:id="rId4"/>
    <sheet name="Signs-Stripping" sheetId="8" r:id="rId5"/>
    <sheet name="Street Improvements" sheetId="9" r:id="rId6"/>
    <sheet name="Cargo" sheetId="10" r:id="rId7"/>
    <sheet name="Totals" sheetId="7" r:id="rId8"/>
    <sheet name="Phasing" sheetId="11" r:id="rId9"/>
  </sheets>
  <definedNames>
    <definedName name="_xlnm.Print_Area" localSheetId="8">Phasing!$A$1:$E$40</definedName>
    <definedName name="_xlnm.Print_Area" localSheetId="7">Totals!$A$1:$H$64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11" l="1"/>
  <c r="H36" i="11"/>
  <c r="C17" i="11"/>
  <c r="E20" i="11" l="1"/>
  <c r="J40" i="11" l="1"/>
  <c r="L40" i="11" s="1"/>
  <c r="C6" i="11"/>
  <c r="K143" i="10"/>
  <c r="F20" i="11" s="1"/>
  <c r="F38" i="11" l="1"/>
  <c r="M40" i="11"/>
  <c r="N40" i="11" s="1"/>
  <c r="O40" i="11" s="1"/>
  <c r="J34" i="9" l="1"/>
  <c r="J26" i="9"/>
  <c r="H33" i="11" s="1"/>
  <c r="H21" i="11"/>
  <c r="H19" i="11"/>
  <c r="N140" i="10"/>
  <c r="H17" i="11" s="1"/>
  <c r="N134" i="10"/>
  <c r="N129" i="10"/>
  <c r="H27" i="11" s="1"/>
  <c r="N122" i="10"/>
  <c r="H26" i="11" s="1"/>
  <c r="N117" i="10"/>
  <c r="N107" i="10"/>
  <c r="H24" i="11" s="1"/>
  <c r="N99" i="10"/>
  <c r="N90" i="10"/>
  <c r="H23" i="11" s="1"/>
  <c r="N84" i="10"/>
  <c r="H22" i="11" s="1"/>
  <c r="N78" i="10"/>
  <c r="N66" i="10"/>
  <c r="N55" i="10"/>
  <c r="N43" i="10"/>
  <c r="N31" i="10"/>
  <c r="J28" i="10"/>
  <c r="N20" i="10"/>
  <c r="N14" i="10"/>
  <c r="H12" i="11"/>
  <c r="L42" i="3"/>
  <c r="L23" i="3"/>
  <c r="H4" i="7" l="1"/>
  <c r="M95" i="10"/>
  <c r="M94" i="10"/>
  <c r="M99" i="10" s="1"/>
  <c r="M61" i="10"/>
  <c r="M54" i="10"/>
  <c r="M12" i="10"/>
  <c r="I4" i="9"/>
  <c r="J4" i="9" s="1"/>
  <c r="B49" i="9"/>
  <c r="P10" i="4"/>
  <c r="F38" i="3"/>
  <c r="K38" i="3" s="1"/>
  <c r="J5" i="2"/>
  <c r="K5" i="2" s="1"/>
  <c r="J15" i="2"/>
  <c r="K15" i="2" s="1"/>
  <c r="J2" i="2"/>
  <c r="K2" i="2" s="1"/>
  <c r="K147" i="10"/>
  <c r="K146" i="10"/>
  <c r="K145" i="10"/>
  <c r="K144" i="10"/>
  <c r="K142" i="10"/>
  <c r="K139" i="10"/>
  <c r="M139" i="10" s="1"/>
  <c r="N139" i="10" s="1"/>
  <c r="H25" i="11" s="1"/>
  <c r="J136" i="10"/>
  <c r="J135" i="10"/>
  <c r="M135" i="10" s="1"/>
  <c r="J134" i="10"/>
  <c r="M134" i="10" s="1"/>
  <c r="J133" i="10"/>
  <c r="H128" i="10"/>
  <c r="J128" i="10" s="1"/>
  <c r="M128" i="10" s="1"/>
  <c r="J127" i="10"/>
  <c r="M127" i="10" s="1"/>
  <c r="M129" i="10" s="1"/>
  <c r="J126" i="10"/>
  <c r="J125" i="10"/>
  <c r="J121" i="10"/>
  <c r="J122" i="10" s="1"/>
  <c r="K122" i="10" s="1"/>
  <c r="D26" i="11" s="1"/>
  <c r="H121" i="10"/>
  <c r="J120" i="10"/>
  <c r="M120" i="10" s="1"/>
  <c r="H116" i="10"/>
  <c r="J116" i="10" s="1"/>
  <c r="M116" i="10" s="1"/>
  <c r="J115" i="10"/>
  <c r="J114" i="10"/>
  <c r="M114" i="10" s="1"/>
  <c r="J113" i="10"/>
  <c r="M113" i="10" s="1"/>
  <c r="J111" i="10"/>
  <c r="J110" i="10"/>
  <c r="H106" i="10"/>
  <c r="J106" i="10" s="1"/>
  <c r="M106" i="10" s="1"/>
  <c r="J105" i="10"/>
  <c r="J104" i="10"/>
  <c r="M104" i="10" s="1"/>
  <c r="J103" i="10"/>
  <c r="M103" i="10" s="1"/>
  <c r="M107" i="10" s="1"/>
  <c r="J102" i="10"/>
  <c r="H98" i="10"/>
  <c r="J98" i="10" s="1"/>
  <c r="M98" i="10" s="1"/>
  <c r="J97" i="10"/>
  <c r="M97" i="10" s="1"/>
  <c r="J96" i="10"/>
  <c r="J95" i="10"/>
  <c r="J94" i="10"/>
  <c r="J93" i="10"/>
  <c r="H89" i="10"/>
  <c r="J89" i="10" s="1"/>
  <c r="M89" i="10" s="1"/>
  <c r="J88" i="10"/>
  <c r="M88" i="10" s="1"/>
  <c r="J87" i="10"/>
  <c r="H83" i="10"/>
  <c r="J83" i="10" s="1"/>
  <c r="M83" i="10" s="1"/>
  <c r="J82" i="10"/>
  <c r="M82" i="10" s="1"/>
  <c r="M84" i="10" s="1"/>
  <c r="J81" i="10"/>
  <c r="H77" i="10"/>
  <c r="J77" i="10" s="1"/>
  <c r="M77" i="10" s="1"/>
  <c r="J76" i="10"/>
  <c r="J75" i="10"/>
  <c r="J74" i="10"/>
  <c r="M74" i="10" s="1"/>
  <c r="J73" i="10"/>
  <c r="M73" i="10" s="1"/>
  <c r="M78" i="10" s="1"/>
  <c r="J72" i="10"/>
  <c r="J71" i="10"/>
  <c r="J70" i="10"/>
  <c r="J69" i="10"/>
  <c r="J78" i="10" s="1"/>
  <c r="K78" i="10" s="1"/>
  <c r="H65" i="10"/>
  <c r="J65" i="10" s="1"/>
  <c r="M65" i="10" s="1"/>
  <c r="J64" i="10"/>
  <c r="M64" i="10" s="1"/>
  <c r="J63" i="10"/>
  <c r="M63" i="10" s="1"/>
  <c r="J62" i="10"/>
  <c r="M62" i="10" s="1"/>
  <c r="J61" i="10"/>
  <c r="J60" i="10"/>
  <c r="M60" i="10" s="1"/>
  <c r="J59" i="10"/>
  <c r="M59" i="10" s="1"/>
  <c r="J58" i="10"/>
  <c r="J57" i="10"/>
  <c r="H54" i="10"/>
  <c r="J54" i="10" s="1"/>
  <c r="H53" i="10"/>
  <c r="J53" i="10" s="1"/>
  <c r="J52" i="10"/>
  <c r="J51" i="10"/>
  <c r="M51" i="10" s="1"/>
  <c r="J50" i="10"/>
  <c r="M50" i="10" s="1"/>
  <c r="J49" i="10"/>
  <c r="J48" i="10"/>
  <c r="J47" i="10"/>
  <c r="J46" i="10"/>
  <c r="H42" i="10"/>
  <c r="J42" i="10" s="1"/>
  <c r="M42" i="10" s="1"/>
  <c r="J41" i="10"/>
  <c r="J40" i="10"/>
  <c r="J39" i="10"/>
  <c r="M39" i="10" s="1"/>
  <c r="J38" i="10"/>
  <c r="M38" i="10" s="1"/>
  <c r="J37" i="10"/>
  <c r="J36" i="10"/>
  <c r="J35" i="10"/>
  <c r="J34" i="10"/>
  <c r="J30" i="10"/>
  <c r="M30" i="10" s="1"/>
  <c r="J29" i="10"/>
  <c r="M29" i="10" s="1"/>
  <c r="M28" i="10"/>
  <c r="J27" i="10"/>
  <c r="J26" i="10"/>
  <c r="M26" i="10" s="1"/>
  <c r="J25" i="10"/>
  <c r="M25" i="10" s="1"/>
  <c r="J24" i="10"/>
  <c r="M24" i="10" s="1"/>
  <c r="J23" i="10"/>
  <c r="M23" i="10" s="1"/>
  <c r="J19" i="10"/>
  <c r="M19" i="10" s="1"/>
  <c r="J18" i="10"/>
  <c r="M18" i="10" s="1"/>
  <c r="J17" i="10"/>
  <c r="J13" i="10"/>
  <c r="M13" i="10" s="1"/>
  <c r="J12" i="10"/>
  <c r="J11" i="10"/>
  <c r="K6" i="10"/>
  <c r="K4" i="10"/>
  <c r="K3" i="10"/>
  <c r="M43" i="10" l="1"/>
  <c r="J90" i="10"/>
  <c r="K90" i="10" s="1"/>
  <c r="D23" i="11" s="1"/>
  <c r="M90" i="10"/>
  <c r="H31" i="11"/>
  <c r="M31" i="10"/>
  <c r="M66" i="10"/>
  <c r="M117" i="10"/>
  <c r="J14" i="10"/>
  <c r="K14" i="10" s="1"/>
  <c r="D24" i="11" s="1"/>
  <c r="D25" i="11"/>
  <c r="C18" i="11"/>
  <c r="J20" i="10"/>
  <c r="K20" i="10" s="1"/>
  <c r="M55" i="10"/>
  <c r="J55" i="10"/>
  <c r="K55" i="10" s="1"/>
  <c r="J84" i="10"/>
  <c r="K84" i="10" s="1"/>
  <c r="D22" i="11" s="1"/>
  <c r="J117" i="10"/>
  <c r="K117" i="10" s="1"/>
  <c r="J129" i="10"/>
  <c r="K129" i="10" s="1"/>
  <c r="D27" i="11" s="1"/>
  <c r="J137" i="10"/>
  <c r="K137" i="10" s="1"/>
  <c r="D28" i="11" s="1"/>
  <c r="M17" i="10"/>
  <c r="M20" i="10" s="1"/>
  <c r="J31" i="10"/>
  <c r="K31" i="10" s="1"/>
  <c r="J43" i="10"/>
  <c r="K43" i="10" s="1"/>
  <c r="J66" i="10"/>
  <c r="K66" i="10" s="1"/>
  <c r="M11" i="10"/>
  <c r="M14" i="10" s="1"/>
  <c r="M121" i="10"/>
  <c r="M122" i="10" s="1"/>
  <c r="M133" i="10"/>
  <c r="J99" i="10"/>
  <c r="K99" i="10" s="1"/>
  <c r="J107" i="10"/>
  <c r="K107" i="10" s="1"/>
  <c r="D21" i="11" l="1"/>
  <c r="N133" i="10"/>
  <c r="H28" i="11" s="1"/>
  <c r="M136" i="10"/>
  <c r="K138" i="10"/>
  <c r="K148" i="10" s="1"/>
  <c r="K150" i="10" s="1"/>
  <c r="M138" i="10"/>
  <c r="D19" i="11" l="1"/>
  <c r="M150" i="10"/>
  <c r="K149" i="10"/>
  <c r="C16" i="11" s="1"/>
  <c r="K151" i="10" l="1"/>
  <c r="J46" i="11"/>
  <c r="M149" i="10"/>
  <c r="M151" i="10" s="1"/>
  <c r="H62" i="7" s="1"/>
  <c r="N151" i="10"/>
  <c r="F62" i="7"/>
  <c r="F46" i="9" l="1"/>
  <c r="G46" i="9" s="1"/>
  <c r="I46" i="9" s="1"/>
  <c r="F45" i="9"/>
  <c r="G45" i="9" s="1"/>
  <c r="I45" i="9" s="1"/>
  <c r="F15" i="9"/>
  <c r="G15" i="9" s="1"/>
  <c r="I15" i="9" s="1"/>
  <c r="J15" i="9" s="1"/>
  <c r="G41" i="9"/>
  <c r="I41" i="9" s="1"/>
  <c r="G42" i="9"/>
  <c r="I42" i="9" s="1"/>
  <c r="F38" i="9"/>
  <c r="G38" i="9" s="1"/>
  <c r="I38" i="9" s="1"/>
  <c r="F36" i="9"/>
  <c r="G36" i="9" s="1"/>
  <c r="D28" i="9"/>
  <c r="E28" i="9" s="1"/>
  <c r="E33" i="9"/>
  <c r="F33" i="9" s="1"/>
  <c r="I33" i="9" s="1"/>
  <c r="E32" i="9"/>
  <c r="F32" i="9" s="1"/>
  <c r="I32" i="9" s="1"/>
  <c r="E31" i="9"/>
  <c r="F31" i="9" s="1"/>
  <c r="I31" i="9" s="1"/>
  <c r="E30" i="9"/>
  <c r="F30" i="9" s="1"/>
  <c r="I30" i="9" s="1"/>
  <c r="E29" i="9"/>
  <c r="F29" i="9" s="1"/>
  <c r="I29" i="9" s="1"/>
  <c r="F37" i="9"/>
  <c r="G37" i="9" s="1"/>
  <c r="I37" i="9" s="1"/>
  <c r="E9" i="9"/>
  <c r="F9" i="9" s="1"/>
  <c r="I9" i="9" s="1"/>
  <c r="E10" i="9"/>
  <c r="F10" i="9" s="1"/>
  <c r="I10" i="9" s="1"/>
  <c r="E11" i="9"/>
  <c r="F11" i="9" s="1"/>
  <c r="I11" i="9" s="1"/>
  <c r="E12" i="9"/>
  <c r="F12" i="9" s="1"/>
  <c r="I12" i="9" s="1"/>
  <c r="E8" i="9"/>
  <c r="F8" i="9" s="1"/>
  <c r="I8" i="9" s="1"/>
  <c r="E6" i="9"/>
  <c r="F44" i="9"/>
  <c r="G44" i="9" s="1"/>
  <c r="I44" i="9" s="1"/>
  <c r="E48" i="9"/>
  <c r="F49" i="9" s="1"/>
  <c r="F40" i="9"/>
  <c r="G40" i="9" s="1"/>
  <c r="I40" i="9" s="1"/>
  <c r="D23" i="9"/>
  <c r="F23" i="9" s="1"/>
  <c r="I23" i="9" s="1"/>
  <c r="E25" i="9"/>
  <c r="F25" i="9" s="1"/>
  <c r="I25" i="9" s="1"/>
  <c r="F24" i="9"/>
  <c r="I24" i="9" s="1"/>
  <c r="E22" i="9"/>
  <c r="F22" i="9" s="1"/>
  <c r="I22" i="9" s="1"/>
  <c r="E21" i="9"/>
  <c r="F21" i="9" s="1"/>
  <c r="I21" i="9" s="1"/>
  <c r="E18" i="9"/>
  <c r="F18" i="9" s="1"/>
  <c r="E19" i="9"/>
  <c r="F19" i="9" s="1"/>
  <c r="I19" i="9" s="1"/>
  <c r="E20" i="9"/>
  <c r="F20" i="9" s="1"/>
  <c r="I20" i="9" s="1"/>
  <c r="E17" i="9"/>
  <c r="F7" i="9"/>
  <c r="I7" i="9" s="1"/>
  <c r="H32" i="11" l="1"/>
  <c r="E34" i="11"/>
  <c r="I36" i="9"/>
  <c r="I39" i="9" s="1"/>
  <c r="J39" i="9" s="1"/>
  <c r="I34" i="9"/>
  <c r="F26" i="9"/>
  <c r="I18" i="9"/>
  <c r="I26" i="9" s="1"/>
  <c r="I47" i="9"/>
  <c r="J47" i="9" s="1"/>
  <c r="G49" i="9"/>
  <c r="E35" i="11" s="1"/>
  <c r="I49" i="9"/>
  <c r="I13" i="9"/>
  <c r="I50" i="9"/>
  <c r="I43" i="9"/>
  <c r="J43" i="9" s="1"/>
  <c r="N46" i="11"/>
  <c r="O46" i="11" s="1"/>
  <c r="F34" i="9"/>
  <c r="G34" i="9" s="1"/>
  <c r="F13" i="9"/>
  <c r="G13" i="9" s="1"/>
  <c r="G26" i="9"/>
  <c r="E33" i="11" s="1"/>
  <c r="J48" i="11" s="1"/>
  <c r="J53" i="9" l="1"/>
  <c r="G50" i="9"/>
  <c r="J49" i="9"/>
  <c r="H35" i="11" s="1"/>
  <c r="I51" i="9"/>
  <c r="H60" i="7" s="1"/>
  <c r="L48" i="11"/>
  <c r="N48" i="11" s="1"/>
  <c r="O48" i="11" s="1"/>
  <c r="H34" i="11"/>
  <c r="G51" i="9"/>
  <c r="G52" i="9"/>
  <c r="E32" i="11" s="1"/>
  <c r="E15" i="4"/>
  <c r="N15" i="4" s="1"/>
  <c r="C17" i="4"/>
  <c r="E17" i="4" s="1"/>
  <c r="N17" i="4" s="1"/>
  <c r="J16" i="4"/>
  <c r="I16" i="4"/>
  <c r="E16" i="4"/>
  <c r="N16" i="4" s="1"/>
  <c r="E14" i="4"/>
  <c r="N14" i="4" s="1"/>
  <c r="K16" i="4" l="1"/>
  <c r="G53" i="9"/>
  <c r="F60" i="7" s="1"/>
  <c r="F19" i="2"/>
  <c r="K19" i="2" s="1"/>
  <c r="E9" i="2"/>
  <c r="L12" i="2" s="1"/>
  <c r="A17" i="2"/>
  <c r="A16" i="2"/>
  <c r="F21" i="2"/>
  <c r="F20" i="2"/>
  <c r="F18" i="2"/>
  <c r="K18" i="2" s="1"/>
  <c r="J20" i="2" l="1"/>
  <c r="K20" i="2" s="1"/>
  <c r="F17" i="2"/>
  <c r="K17" i="2" s="1"/>
  <c r="L22" i="2"/>
  <c r="L25" i="2" s="1"/>
  <c r="L26" i="2" s="1"/>
  <c r="F16" i="2"/>
  <c r="G37" i="4"/>
  <c r="G36" i="4"/>
  <c r="G38" i="4" s="1"/>
  <c r="G39" i="4" s="1"/>
  <c r="A42" i="4"/>
  <c r="C10" i="4"/>
  <c r="L21" i="4"/>
  <c r="C30" i="4"/>
  <c r="E30" i="4" s="1"/>
  <c r="G30" i="4" s="1"/>
  <c r="C31" i="4"/>
  <c r="E31" i="4" s="1"/>
  <c r="G31" i="4" s="1"/>
  <c r="F7" i="3"/>
  <c r="J7" i="3" s="1"/>
  <c r="K7" i="3" s="1"/>
  <c r="F15" i="3"/>
  <c r="D8" i="5"/>
  <c r="F31" i="3"/>
  <c r="K31" i="3" s="1"/>
  <c r="E8" i="8"/>
  <c r="E7" i="8"/>
  <c r="E4" i="8"/>
  <c r="E5" i="8" s="1"/>
  <c r="D4" i="5"/>
  <c r="B20" i="4"/>
  <c r="C20" i="4" s="1"/>
  <c r="E20" i="4" s="1"/>
  <c r="B27" i="4"/>
  <c r="B22" i="4"/>
  <c r="B21" i="4"/>
  <c r="C21" i="4" s="1"/>
  <c r="E21" i="4" s="1"/>
  <c r="G21" i="4" s="1"/>
  <c r="D7" i="5"/>
  <c r="J5" i="8" l="1"/>
  <c r="I5" i="8"/>
  <c r="K5" i="8" s="1"/>
  <c r="I39" i="4"/>
  <c r="G40" i="4"/>
  <c r="I40" i="4" s="1"/>
  <c r="H8" i="5"/>
  <c r="I8" i="5"/>
  <c r="J7" i="8"/>
  <c r="I7" i="8"/>
  <c r="K7" i="8" s="1"/>
  <c r="H4" i="5"/>
  <c r="I4" i="5"/>
  <c r="E9" i="8"/>
  <c r="F53" i="7" s="1"/>
  <c r="J8" i="8"/>
  <c r="I8" i="8"/>
  <c r="F50" i="7"/>
  <c r="H7" i="5"/>
  <c r="I7" i="5"/>
  <c r="F22" i="2"/>
  <c r="G22" i="2" s="1"/>
  <c r="F8" i="7" s="1"/>
  <c r="K16" i="2"/>
  <c r="G20" i="4"/>
  <c r="G22" i="4" s="1"/>
  <c r="E22" i="4"/>
  <c r="G32" i="4"/>
  <c r="E32" i="4"/>
  <c r="E33" i="4" s="1"/>
  <c r="F45" i="7"/>
  <c r="D5" i="5"/>
  <c r="B5" i="5"/>
  <c r="K3" i="4"/>
  <c r="E9" i="4"/>
  <c r="J9" i="4"/>
  <c r="I9" i="4"/>
  <c r="K9" i="4" s="1"/>
  <c r="E10" i="4"/>
  <c r="E8" i="4"/>
  <c r="F47" i="3"/>
  <c r="K47" i="3" s="1"/>
  <c r="F48" i="3"/>
  <c r="K48" i="3" s="1"/>
  <c r="F3" i="4"/>
  <c r="B4" i="4"/>
  <c r="F57" i="3"/>
  <c r="F54" i="3"/>
  <c r="G54" i="3" s="1"/>
  <c r="F53" i="3"/>
  <c r="K53" i="3" s="1"/>
  <c r="F46" i="3"/>
  <c r="K46" i="3" s="1"/>
  <c r="F49" i="3"/>
  <c r="K49" i="3" s="1"/>
  <c r="F45" i="3"/>
  <c r="K45" i="3" s="1"/>
  <c r="F41" i="3"/>
  <c r="K41" i="3" s="1"/>
  <c r="F40" i="3"/>
  <c r="K40" i="3" s="1"/>
  <c r="F39" i="3"/>
  <c r="K39" i="3" s="1"/>
  <c r="F37" i="3"/>
  <c r="E33" i="3"/>
  <c r="F33" i="3" s="1"/>
  <c r="K33" i="3" s="1"/>
  <c r="E26" i="3"/>
  <c r="F26" i="3" s="1"/>
  <c r="F28" i="3"/>
  <c r="K28" i="3" s="1"/>
  <c r="F32" i="3"/>
  <c r="K32" i="3" s="1"/>
  <c r="B25" i="3"/>
  <c r="F30" i="3"/>
  <c r="K30" i="3" s="1"/>
  <c r="F29" i="3"/>
  <c r="K29" i="3" s="1"/>
  <c r="F27" i="3"/>
  <c r="K27" i="3" s="1"/>
  <c r="F19" i="3"/>
  <c r="K19" i="3" s="1"/>
  <c r="F20" i="3"/>
  <c r="K20" i="3" s="1"/>
  <c r="F21" i="3"/>
  <c r="K21" i="3" s="1"/>
  <c r="F22" i="3"/>
  <c r="K22" i="3" s="1"/>
  <c r="F18" i="3"/>
  <c r="B17" i="3"/>
  <c r="H3" i="3"/>
  <c r="C12" i="7" s="1"/>
  <c r="F3" i="3"/>
  <c r="F4" i="3" s="1"/>
  <c r="D3" i="3"/>
  <c r="D5" i="3" s="1"/>
  <c r="F9" i="2"/>
  <c r="K9" i="2" s="1"/>
  <c r="F7" i="2"/>
  <c r="K7" i="2" s="1"/>
  <c r="F8" i="2"/>
  <c r="K8" i="2" s="1"/>
  <c r="F6" i="2"/>
  <c r="F11" i="2"/>
  <c r="F10" i="2"/>
  <c r="F34" i="7" l="1"/>
  <c r="N8" i="4"/>
  <c r="F38" i="7"/>
  <c r="N10" i="4"/>
  <c r="E11" i="8"/>
  <c r="D6" i="3"/>
  <c r="F5" i="3"/>
  <c r="F36" i="7"/>
  <c r="N9" i="4"/>
  <c r="H4" i="3"/>
  <c r="E12" i="3" s="1"/>
  <c r="F12" i="3" s="1"/>
  <c r="K12" i="3" s="1"/>
  <c r="G33" i="4"/>
  <c r="G34" i="4" s="1"/>
  <c r="K34" i="4" s="1"/>
  <c r="I33" i="4"/>
  <c r="I34" i="4" s="1"/>
  <c r="D4" i="3"/>
  <c r="C7" i="11"/>
  <c r="H6" i="3"/>
  <c r="P7" i="4"/>
  <c r="J39" i="4"/>
  <c r="D10" i="5"/>
  <c r="H5" i="5"/>
  <c r="I5" i="5"/>
  <c r="I9" i="5" s="1"/>
  <c r="K9" i="8"/>
  <c r="E13" i="4"/>
  <c r="E6" i="4"/>
  <c r="F30" i="7" s="1"/>
  <c r="K8" i="8"/>
  <c r="J10" i="2"/>
  <c r="K10" i="2" s="1"/>
  <c r="J22" i="2"/>
  <c r="K22" i="2" s="1"/>
  <c r="K23" i="2" s="1"/>
  <c r="J54" i="3"/>
  <c r="K54" i="3" s="1"/>
  <c r="F23" i="7"/>
  <c r="K18" i="3"/>
  <c r="F23" i="3"/>
  <c r="G23" i="3" s="1"/>
  <c r="F6" i="3"/>
  <c r="F42" i="3"/>
  <c r="G42" i="3" s="1"/>
  <c r="K37" i="3"/>
  <c r="F58" i="3"/>
  <c r="G58" i="3" s="1"/>
  <c r="K57" i="3"/>
  <c r="H5" i="3"/>
  <c r="K26" i="3"/>
  <c r="F34" i="3"/>
  <c r="G34" i="3" s="1"/>
  <c r="K55" i="3"/>
  <c r="L54" i="3" s="1"/>
  <c r="F12" i="2"/>
  <c r="G12" i="2" s="1"/>
  <c r="C8" i="11" s="1"/>
  <c r="K6" i="2"/>
  <c r="J42" i="3"/>
  <c r="K42" i="3" s="1"/>
  <c r="F19" i="7"/>
  <c r="E23" i="4"/>
  <c r="E24" i="4" s="1"/>
  <c r="E25" i="4"/>
  <c r="G25" i="4" s="1"/>
  <c r="F43" i="7"/>
  <c r="F50" i="3"/>
  <c r="G50" i="3" s="1"/>
  <c r="E10" i="3" l="1"/>
  <c r="F10" i="3" s="1"/>
  <c r="K10" i="3" s="1"/>
  <c r="N6" i="4"/>
  <c r="K9" i="5"/>
  <c r="H13" i="11" s="1"/>
  <c r="H47" i="7"/>
  <c r="J9" i="5"/>
  <c r="F47" i="7"/>
  <c r="E13" i="11"/>
  <c r="E38" i="11" s="1"/>
  <c r="E9" i="3"/>
  <c r="F9" i="3" s="1"/>
  <c r="K9" i="3" s="1"/>
  <c r="E11" i="3"/>
  <c r="F11" i="3" s="1"/>
  <c r="K11" i="3" s="1"/>
  <c r="G26" i="4"/>
  <c r="G27" i="4"/>
  <c r="J27" i="4" s="1"/>
  <c r="P8" i="4" s="1"/>
  <c r="D7" i="4"/>
  <c r="E7" i="4" s="1"/>
  <c r="N7" i="4" s="1"/>
  <c r="G25" i="2"/>
  <c r="F10" i="7" s="1"/>
  <c r="J38" i="11"/>
  <c r="E8" i="3"/>
  <c r="F54" i="7"/>
  <c r="E14" i="11"/>
  <c r="I11" i="8"/>
  <c r="K11" i="8" s="1"/>
  <c r="J42" i="4"/>
  <c r="N13" i="4"/>
  <c r="N18" i="4" s="1"/>
  <c r="E18" i="4"/>
  <c r="F18" i="4" s="1"/>
  <c r="G18" i="4" s="1"/>
  <c r="F17" i="7"/>
  <c r="J34" i="3"/>
  <c r="K34" i="3" s="1"/>
  <c r="F15" i="7"/>
  <c r="J23" i="3"/>
  <c r="K23" i="3" s="1"/>
  <c r="K24" i="3" s="1"/>
  <c r="J50" i="3"/>
  <c r="K50" i="3" s="1"/>
  <c r="K51" i="3" s="1"/>
  <c r="L50" i="3" s="1"/>
  <c r="F21" i="7"/>
  <c r="J58" i="3"/>
  <c r="K58" i="3" s="1"/>
  <c r="K59" i="3" s="1"/>
  <c r="L58" i="3" s="1"/>
  <c r="F25" i="7"/>
  <c r="K35" i="3"/>
  <c r="K43" i="3"/>
  <c r="L13" i="3"/>
  <c r="L61" i="3" s="1"/>
  <c r="H11" i="11" s="1"/>
  <c r="F8" i="3"/>
  <c r="J12" i="2"/>
  <c r="K12" i="2" s="1"/>
  <c r="K13" i="2" s="1"/>
  <c r="K25" i="2" s="1"/>
  <c r="F6" i="7"/>
  <c r="N11" i="4" l="1"/>
  <c r="M11" i="8"/>
  <c r="H14" i="11" s="1"/>
  <c r="H54" i="7"/>
  <c r="L11" i="8"/>
  <c r="H38" i="11"/>
  <c r="H39" i="11" s="1"/>
  <c r="L38" i="11"/>
  <c r="N38" i="11" s="1"/>
  <c r="O38" i="11" s="1"/>
  <c r="K8" i="3"/>
  <c r="F13" i="3"/>
  <c r="G13" i="3" s="1"/>
  <c r="F32" i="7"/>
  <c r="E11" i="4"/>
  <c r="F11" i="4" s="1"/>
  <c r="C12" i="11" l="1"/>
  <c r="J44" i="11" s="1"/>
  <c r="O11" i="4"/>
  <c r="P11" i="4" s="1"/>
  <c r="P12" i="4" s="1"/>
  <c r="F40" i="7"/>
  <c r="F13" i="7"/>
  <c r="J13" i="3"/>
  <c r="K13" i="3" s="1"/>
  <c r="K14" i="3" s="1"/>
  <c r="K61" i="3" s="1"/>
  <c r="G60" i="3"/>
  <c r="H10" i="7"/>
  <c r="G11" i="4"/>
  <c r="Q12" i="4" l="1"/>
  <c r="H40" i="7"/>
  <c r="P18" i="4"/>
  <c r="F27" i="7"/>
  <c r="F56" i="7" s="1"/>
  <c r="H27" i="7"/>
  <c r="P13" i="4"/>
  <c r="P14" i="4" s="1"/>
  <c r="P19" i="4" l="1"/>
  <c r="F57" i="7"/>
  <c r="F58" i="7"/>
  <c r="D11" i="11" l="1"/>
  <c r="D38" i="11" s="1"/>
  <c r="C11" i="11"/>
  <c r="C38" i="11" s="1"/>
  <c r="H57" i="7"/>
  <c r="H64" i="7" s="1"/>
  <c r="F59" i="7"/>
  <c r="F61" i="7" s="1"/>
  <c r="F64" i="7" s="1"/>
  <c r="F40" i="11" l="1"/>
  <c r="J42" i="11"/>
  <c r="I64" i="7"/>
  <c r="L42" i="11" l="1"/>
  <c r="J51" i="11"/>
  <c r="M44" i="11" l="1"/>
  <c r="N44" i="11"/>
  <c r="M42" i="11"/>
  <c r="N42" i="11" s="1"/>
  <c r="L44" i="11" l="1"/>
  <c r="O44" i="11" s="1"/>
  <c r="N50" i="11"/>
  <c r="M50" i="11"/>
  <c r="O42" i="11"/>
  <c r="L50" i="11" l="1"/>
  <c r="O5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Per Mike Shott $165.00 CY</t>
        </r>
      </text>
    </comment>
    <comment ref="C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Quoted $490.00 each
Plus Freight.
$200.00 each to install.</t>
        </r>
      </text>
    </comment>
    <comment ref="C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Per Mike Shott $165.00 CY</t>
        </r>
      </text>
    </comment>
    <comment ref="C1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Quoted $490.00 each
Plus Freight.
$200.00 each to install.</t>
        </r>
      </text>
    </comment>
  </commentList>
</comments>
</file>

<file path=xl/sharedStrings.xml><?xml version="1.0" encoding="utf-8"?>
<sst xmlns="http://schemas.openxmlformats.org/spreadsheetml/2006/main" count="406" uniqueCount="245">
  <si>
    <t>Manholes</t>
  </si>
  <si>
    <t>Excavator</t>
  </si>
  <si>
    <t xml:space="preserve">Trucking </t>
  </si>
  <si>
    <t xml:space="preserve">Labor </t>
  </si>
  <si>
    <t>Supervision</t>
  </si>
  <si>
    <t>Disposal Fee</t>
  </si>
  <si>
    <t>Concrete disposal</t>
  </si>
  <si>
    <t>FedEx</t>
  </si>
  <si>
    <t>Asbestos Removal</t>
  </si>
  <si>
    <t>Excavation</t>
  </si>
  <si>
    <t xml:space="preserve">Excavator </t>
  </si>
  <si>
    <t>Dozer</t>
  </si>
  <si>
    <t>Trucking</t>
  </si>
  <si>
    <t>Labor</t>
  </si>
  <si>
    <t>Finishing Roadbed &amp; Slopes</t>
  </si>
  <si>
    <t>Grader</t>
  </si>
  <si>
    <t xml:space="preserve">Roller </t>
  </si>
  <si>
    <t>Water Truck</t>
  </si>
  <si>
    <t>Base Rock</t>
  </si>
  <si>
    <t>Aggregate Base Placement</t>
  </si>
  <si>
    <t>Aggregate Base Finish</t>
  </si>
  <si>
    <t>Catch Basins</t>
  </si>
  <si>
    <t>Water meters</t>
  </si>
  <si>
    <t>Remove Power Poles</t>
  </si>
  <si>
    <t>Power Poles</t>
  </si>
  <si>
    <t>Remove existing signs</t>
  </si>
  <si>
    <t>Signs</t>
  </si>
  <si>
    <t>Square Feet @ 10" deep</t>
  </si>
  <si>
    <t>Cubic Yards of concrete</t>
  </si>
  <si>
    <t>at $12.50/Sqft.</t>
  </si>
  <si>
    <t>Electrical Boxes</t>
  </si>
  <si>
    <t>Water valves</t>
  </si>
  <si>
    <t>4000 PSI</t>
  </si>
  <si>
    <t>Form &amp; Pour</t>
  </si>
  <si>
    <t>Tie downs</t>
  </si>
  <si>
    <t>450' x 375'</t>
  </si>
  <si>
    <t>Fencing</t>
  </si>
  <si>
    <t>Gates (2) 20 feet</t>
  </si>
  <si>
    <t>Demo Buildings</t>
  </si>
  <si>
    <t>Totals</t>
  </si>
  <si>
    <t>Finishing Road Bed &amp; Slopes</t>
  </si>
  <si>
    <t>Cubic Yards</t>
  </si>
  <si>
    <t>Aggregate Base Buy/Placement</t>
  </si>
  <si>
    <t>Adjust Manholes, Water Meters, ECT.</t>
  </si>
  <si>
    <t>Remove Exist Signs</t>
  </si>
  <si>
    <t>Total</t>
  </si>
  <si>
    <t>Rebar</t>
  </si>
  <si>
    <t>Tie Downs</t>
  </si>
  <si>
    <t>Fence</t>
  </si>
  <si>
    <t>Gates (2)</t>
  </si>
  <si>
    <t>Grand Total</t>
  </si>
  <si>
    <t>Splices</t>
  </si>
  <si>
    <t>Additional Feet</t>
  </si>
  <si>
    <t>Total Feet</t>
  </si>
  <si>
    <t>LB</t>
  </si>
  <si>
    <t xml:space="preserve">Removal </t>
  </si>
  <si>
    <t>Stripping</t>
  </si>
  <si>
    <t>Signage</t>
  </si>
  <si>
    <t xml:space="preserve">Stripping </t>
  </si>
  <si>
    <t xml:space="preserve">Signs </t>
  </si>
  <si>
    <t xml:space="preserve">Monuments </t>
  </si>
  <si>
    <t>Type II signs</t>
  </si>
  <si>
    <t>Non-woven Fabric</t>
  </si>
  <si>
    <t>Power &amp; conduits</t>
  </si>
  <si>
    <t>Site Survey Layout</t>
  </si>
  <si>
    <t>LS</t>
  </si>
  <si>
    <t>Mob/Bonds/Cap Sewer lines</t>
  </si>
  <si>
    <t>Adjust Manholes, catch basins, misc. boxes (5-each)</t>
  </si>
  <si>
    <t>Mobilization</t>
  </si>
  <si>
    <t>Dixon Steel Roseburg</t>
  </si>
  <si>
    <t>Delivered</t>
  </si>
  <si>
    <t>Extra</t>
  </si>
  <si>
    <t>Cost Extra</t>
  </si>
  <si>
    <t>#4</t>
  </si>
  <si>
    <t>#5</t>
  </si>
  <si>
    <t>Total Ft.</t>
  </si>
  <si>
    <t>10% waste</t>
  </si>
  <si>
    <t>20'x20'x.833</t>
  </si>
  <si>
    <t>CYS</t>
  </si>
  <si>
    <t>Rebar 2-mats, #5 bar</t>
  </si>
  <si>
    <t>18" OC</t>
  </si>
  <si>
    <t>16" OC</t>
  </si>
  <si>
    <t>each</t>
  </si>
  <si>
    <t>Labor to pour, Shout, Screed, screed, shovel</t>
  </si>
  <si>
    <t>Labor to bull float</t>
  </si>
  <si>
    <t>Labor to finish edges</t>
  </si>
  <si>
    <t>labor to finish float</t>
  </si>
  <si>
    <t>labor to broom</t>
  </si>
  <si>
    <t>Supervise</t>
  </si>
  <si>
    <t>per day</t>
  </si>
  <si>
    <t>Days</t>
  </si>
  <si>
    <t>Crew Days</t>
  </si>
  <si>
    <t>Crew Hours</t>
  </si>
  <si>
    <t>169'x38'</t>
  </si>
  <si>
    <t>Concrete testing/Epoxy Joint Filler</t>
  </si>
  <si>
    <t>Brock</t>
  </si>
  <si>
    <t>Rick</t>
  </si>
  <si>
    <t>SQFT.</t>
  </si>
  <si>
    <t>Sidewalks</t>
  </si>
  <si>
    <t>Curb &amp; Gutter</t>
  </si>
  <si>
    <t>Driveways</t>
  </si>
  <si>
    <t>Back fill Curb &amp; Gutter</t>
  </si>
  <si>
    <t>Prep for Curb &amp; Gutter</t>
  </si>
  <si>
    <t>Adjust Boxes</t>
  </si>
  <si>
    <t xml:space="preserve">Adjust Manholes </t>
  </si>
  <si>
    <t xml:space="preserve">Engineering &amp; Staking </t>
  </si>
  <si>
    <t>Striping</t>
  </si>
  <si>
    <t>Verbal - West Coast Fencing</t>
  </si>
  <si>
    <t>WILL THIS BE DONE?</t>
  </si>
  <si>
    <t>Asphalt Paving 6-inches</t>
  </si>
  <si>
    <t>Base rock</t>
  </si>
  <si>
    <t>Site Excavation</t>
  </si>
  <si>
    <t xml:space="preserve">Site Concrete </t>
  </si>
  <si>
    <t>Site Fencing</t>
  </si>
  <si>
    <t>Street Improvements</t>
  </si>
  <si>
    <t xml:space="preserve">PP&amp;L Pole Replacement/Relocation </t>
  </si>
  <si>
    <t>Design</t>
  </si>
  <si>
    <t>Contingency 5%</t>
  </si>
  <si>
    <t>Total Project Cost</t>
  </si>
  <si>
    <t>Construction Management</t>
  </si>
  <si>
    <t>Engineering &amp; Staking 12%</t>
  </si>
  <si>
    <t>Total Street Project</t>
  </si>
  <si>
    <t>Architect Design</t>
  </si>
  <si>
    <t xml:space="preserve">Master Plan Site Improvements </t>
  </si>
  <si>
    <t>Building Cost/delivered</t>
  </si>
  <si>
    <t>Building includes R-51 Energy Saving in Roof</t>
  </si>
  <si>
    <t>Building includes R-50 Energy Saving in Walls</t>
  </si>
  <si>
    <t>Included</t>
  </si>
  <si>
    <t>1-each 23'x18' Series 2412, insulated Sectional w/chain hoist</t>
  </si>
  <si>
    <t>400' of Gutters &amp; down spouts (200' each side)</t>
  </si>
  <si>
    <t>2-each man doors</t>
  </si>
  <si>
    <t>Unloading Cost</t>
  </si>
  <si>
    <t xml:space="preserve">Fork Lift </t>
  </si>
  <si>
    <t>Site work</t>
  </si>
  <si>
    <t>Grader/Loader</t>
  </si>
  <si>
    <t>Footing Excavation</t>
  </si>
  <si>
    <t>3'x1'x510'</t>
  </si>
  <si>
    <t>Backhoe</t>
  </si>
  <si>
    <t>Bobtail Trucking</t>
  </si>
  <si>
    <t>Small Tools</t>
  </si>
  <si>
    <t>Aggregate</t>
  </si>
  <si>
    <t>Building Footing/Stem wall Construction</t>
  </si>
  <si>
    <t>3'x2'x510'</t>
  </si>
  <si>
    <t>Materials</t>
  </si>
  <si>
    <t>Anchor Bolts</t>
  </si>
  <si>
    <t>Ties</t>
  </si>
  <si>
    <t>510x6</t>
  </si>
  <si>
    <t>21"x510</t>
  </si>
  <si>
    <t>Fork Lift</t>
  </si>
  <si>
    <t>Concrete</t>
  </si>
  <si>
    <t>Loading Dock Footing/Stem Wall/Slab</t>
  </si>
  <si>
    <t>110'x4'</t>
  </si>
  <si>
    <t>Building Slab/Backfill &amp; prep for concrete</t>
  </si>
  <si>
    <t>Roller</t>
  </si>
  <si>
    <t xml:space="preserve">Loader </t>
  </si>
  <si>
    <t xml:space="preserve">Aggregate </t>
  </si>
  <si>
    <t>Building Slab</t>
  </si>
  <si>
    <t>ISO</t>
  </si>
  <si>
    <t>200'x55'x0.68</t>
  </si>
  <si>
    <t>Plumbing/Rough-in</t>
  </si>
  <si>
    <t>Electrical/Rough-in</t>
  </si>
  <si>
    <t>Building Erection</t>
  </si>
  <si>
    <t>Crane</t>
  </si>
  <si>
    <t>Insulation Install</t>
  </si>
  <si>
    <t>Man Lift</t>
  </si>
  <si>
    <t>Interior plywood</t>
  </si>
  <si>
    <t>2"x6"</t>
  </si>
  <si>
    <t>Nails, ECT</t>
  </si>
  <si>
    <t>Plumbing/Finish</t>
  </si>
  <si>
    <t>Electrical/Finish</t>
  </si>
  <si>
    <t>Lights</t>
  </si>
  <si>
    <t>Wire/boxes</t>
  </si>
  <si>
    <t>Paving</t>
  </si>
  <si>
    <t>Asphalt</t>
  </si>
  <si>
    <t>Subgrade Prep</t>
  </si>
  <si>
    <t>Cooling System</t>
  </si>
  <si>
    <t>Surveying</t>
  </si>
  <si>
    <t>NB Building Permit</t>
  </si>
  <si>
    <t>DFN</t>
  </si>
  <si>
    <t>Sanitary</t>
  </si>
  <si>
    <t>Water</t>
  </si>
  <si>
    <t>Gas</t>
  </si>
  <si>
    <t>Electrical</t>
  </si>
  <si>
    <t>Architect</t>
  </si>
  <si>
    <t>Contingency</t>
  </si>
  <si>
    <t xml:space="preserve">Total Cost </t>
  </si>
  <si>
    <t>Year 1</t>
  </si>
  <si>
    <t>Year 2</t>
  </si>
  <si>
    <t>Year 3</t>
  </si>
  <si>
    <t xml:space="preserve">Labor Cost </t>
  </si>
  <si>
    <t>Labor Cost</t>
  </si>
  <si>
    <t>Margin</t>
  </si>
  <si>
    <t>Airport Way Street Improvements</t>
  </si>
  <si>
    <t>Striping/Signage</t>
  </si>
  <si>
    <t>Site Work</t>
  </si>
  <si>
    <t>Fencing/Gates</t>
  </si>
  <si>
    <t>Footing/Stem wall/Slab</t>
  </si>
  <si>
    <t>Plumbing Rough-in</t>
  </si>
  <si>
    <t>Electrical Rough-in</t>
  </si>
  <si>
    <t>Building purchase &amp; Assembly</t>
  </si>
  <si>
    <t>Plumbing Finish</t>
  </si>
  <si>
    <t>Electrical Finish</t>
  </si>
  <si>
    <t>Asphalt Paving</t>
  </si>
  <si>
    <t>Permits/SSD/Power/Sewer Fees</t>
  </si>
  <si>
    <t>PP&amp;L Relocate</t>
  </si>
  <si>
    <t>Excavation/Subgrade work</t>
  </si>
  <si>
    <t>Sidewalks/Driveways/Curbs/Catch Basins</t>
  </si>
  <si>
    <t>Demo Totals</t>
  </si>
  <si>
    <t>9 new jobs</t>
  </si>
  <si>
    <t>11 new jobs</t>
  </si>
  <si>
    <t>Project Job Cost per Year &amp; FTE Projection</t>
  </si>
  <si>
    <t>Cargo Project Improvements</t>
  </si>
  <si>
    <t>Labor Hours</t>
  </si>
  <si>
    <t>Cargo Project Site Prep</t>
  </si>
  <si>
    <t>FTE Labor hours</t>
  </si>
  <si>
    <t>Labor %</t>
  </si>
  <si>
    <t>FTE Labor Hours</t>
  </si>
  <si>
    <t xml:space="preserve">Cargo Project Building </t>
  </si>
  <si>
    <t>Cargo Building</t>
  </si>
  <si>
    <t>Cargo Building Project</t>
  </si>
  <si>
    <t>Cargo Project Street Improvements</t>
  </si>
  <si>
    <t>Finish subgrade</t>
  </si>
  <si>
    <t>6' Chain link w/barbwire</t>
  </si>
  <si>
    <t>Testing/Epoxy joints</t>
  </si>
  <si>
    <t>MOB</t>
  </si>
  <si>
    <t>Cargo Facility and Infrastructure Expansion Project Costs</t>
  </si>
  <si>
    <t>Building - Existing Cargo</t>
  </si>
  <si>
    <t>Demo</t>
  </si>
  <si>
    <t>Cargo Ramp</t>
  </si>
  <si>
    <t>Street Realignment</t>
  </si>
  <si>
    <t>Cost Category</t>
  </si>
  <si>
    <t>Equipment</t>
  </si>
  <si>
    <t>Cargo Building &amp; Equipment</t>
  </si>
  <si>
    <t>RAISE</t>
  </si>
  <si>
    <t>CCAD</t>
  </si>
  <si>
    <t>Permitting &amp; Site Prep</t>
  </si>
  <si>
    <t>Building at new Cargo Location</t>
  </si>
  <si>
    <t>Cargo Equipment</t>
  </si>
  <si>
    <t>Architect/Engineer/CA</t>
  </si>
  <si>
    <t>Cargo Ramp &amp; Auto Parking</t>
  </si>
  <si>
    <t>Building at New Cargo Location</t>
  </si>
  <si>
    <t>Year 4</t>
  </si>
  <si>
    <t>Demo - Building at New Cargo Location</t>
  </si>
  <si>
    <t>Demo - Old Cargo Building</t>
  </si>
  <si>
    <t>Connect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</si>
</sst>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(* #,##0_);_(* \(#,##0\);_(* &quot;-&quot;?_);_(@_)"/>
    <numFmt numFmtId="167" formatCode="0.0"/>
    <numFmt numFmtId="168" formatCode="_(&quot;$&quot;* #,##0.000_);_(&quot;$&quot;* \(#,##0.000\);_(&quot;$&quot;* &quot;-&quot;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44" fontId="0" fillId="0" borderId="0" xfId="2" applyFont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1" xfId="2" applyFont="1" applyBorder="1"/>
    <xf numFmtId="0" fontId="0" fillId="2" borderId="0" xfId="0" applyFill="1"/>
    <xf numFmtId="44" fontId="0" fillId="0" borderId="1" xfId="0" applyNumberFormat="1" applyBorder="1"/>
    <xf numFmtId="44" fontId="2" fillId="0" borderId="0" xfId="0" applyNumberFormat="1" applyFont="1"/>
    <xf numFmtId="43" fontId="0" fillId="0" borderId="0" xfId="0" applyNumberFormat="1"/>
    <xf numFmtId="2" fontId="0" fillId="0" borderId="0" xfId="0" applyNumberFormat="1"/>
    <xf numFmtId="44" fontId="2" fillId="0" borderId="0" xfId="2" applyFont="1"/>
    <xf numFmtId="43" fontId="0" fillId="0" borderId="1" xfId="0" applyNumberFormat="1" applyBorder="1"/>
    <xf numFmtId="164" fontId="0" fillId="0" borderId="1" xfId="1" applyNumberFormat="1" applyFont="1" applyBorder="1"/>
    <xf numFmtId="164" fontId="0" fillId="0" borderId="0" xfId="1" applyNumberFormat="1" applyFont="1" applyAlignment="1">
      <alignment horizontal="right"/>
    </xf>
    <xf numFmtId="164" fontId="0" fillId="2" borderId="0" xfId="1" applyNumberFormat="1" applyFont="1" applyFill="1"/>
    <xf numFmtId="164" fontId="0" fillId="2" borderId="0" xfId="0" applyNumberFormat="1" applyFill="1"/>
    <xf numFmtId="164" fontId="0" fillId="2" borderId="1" xfId="0" applyNumberFormat="1" applyFill="1" applyBorder="1"/>
    <xf numFmtId="166" fontId="0" fillId="2" borderId="0" xfId="0" applyNumberFormat="1" applyFill="1"/>
    <xf numFmtId="43" fontId="0" fillId="2" borderId="0" xfId="0" applyNumberFormat="1" applyFill="1"/>
    <xf numFmtId="165" fontId="0" fillId="2" borderId="0" xfId="0" applyNumberFormat="1" applyFill="1"/>
    <xf numFmtId="44" fontId="0" fillId="2" borderId="0" xfId="2" applyFont="1" applyFill="1"/>
    <xf numFmtId="0" fontId="0" fillId="0" borderId="1" xfId="0" applyBorder="1"/>
    <xf numFmtId="44" fontId="0" fillId="2" borderId="1" xfId="0" applyNumberFormat="1" applyFill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2" fillId="0" borderId="9" xfId="0" applyNumberFormat="1" applyFont="1" applyBorder="1"/>
    <xf numFmtId="1" fontId="0" fillId="0" borderId="3" xfId="0" applyNumberFormat="1" applyBorder="1"/>
    <xf numFmtId="44" fontId="0" fillId="0" borderId="4" xfId="0" applyNumberFormat="1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44" fontId="2" fillId="0" borderId="12" xfId="0" applyNumberFormat="1" applyFont="1" applyBorder="1"/>
    <xf numFmtId="0" fontId="2" fillId="0" borderId="5" xfId="0" applyFont="1" applyBorder="1"/>
    <xf numFmtId="44" fontId="0" fillId="2" borderId="0" xfId="2" applyFont="1" applyFill="1" applyBorder="1"/>
    <xf numFmtId="44" fontId="0" fillId="0" borderId="0" xfId="2" applyFont="1" applyBorder="1"/>
    <xf numFmtId="44" fontId="2" fillId="0" borderId="8" xfId="0" applyNumberFormat="1" applyFont="1" applyBorder="1"/>
    <xf numFmtId="44" fontId="0" fillId="0" borderId="9" xfId="2" applyFont="1" applyBorder="1"/>
    <xf numFmtId="0" fontId="2" fillId="2" borderId="2" xfId="0" applyFont="1" applyFill="1" applyBorder="1"/>
    <xf numFmtId="0" fontId="0" fillId="2" borderId="3" xfId="0" applyFill="1" applyBorder="1"/>
    <xf numFmtId="0" fontId="2" fillId="2" borderId="5" xfId="0" applyFont="1" applyFill="1" applyBorder="1"/>
    <xf numFmtId="167" fontId="0" fillId="2" borderId="5" xfId="0" applyNumberFormat="1" applyFill="1" applyBorder="1"/>
    <xf numFmtId="44" fontId="0" fillId="2" borderId="0" xfId="0" applyNumberFormat="1" applyFill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44" fontId="2" fillId="2" borderId="8" xfId="0" applyNumberFormat="1" applyFont="1" applyFill="1" applyBorder="1"/>
    <xf numFmtId="0" fontId="2" fillId="0" borderId="3" xfId="0" applyFont="1" applyBorder="1"/>
    <xf numFmtId="44" fontId="0" fillId="0" borderId="8" xfId="2" applyFont="1" applyBorder="1"/>
    <xf numFmtId="44" fontId="0" fillId="0" borderId="11" xfId="2" applyFont="1" applyBorder="1"/>
    <xf numFmtId="44" fontId="2" fillId="0" borderId="11" xfId="2" applyFont="1" applyBorder="1"/>
    <xf numFmtId="0" fontId="0" fillId="0" borderId="12" xfId="0" applyBorder="1"/>
    <xf numFmtId="44" fontId="0" fillId="0" borderId="3" xfId="2" applyFont="1" applyBorder="1"/>
    <xf numFmtId="0" fontId="0" fillId="0" borderId="2" xfId="0" applyBorder="1"/>
    <xf numFmtId="43" fontId="0" fillId="0" borderId="3" xfId="0" applyNumberFormat="1" applyBorder="1"/>
    <xf numFmtId="0" fontId="0" fillId="0" borderId="3" xfId="2" applyNumberFormat="1" applyFont="1" applyBorder="1"/>
    <xf numFmtId="165" fontId="0" fillId="0" borderId="3" xfId="0" applyNumberForma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44" fontId="0" fillId="0" borderId="13" xfId="0" applyNumberFormat="1" applyBorder="1"/>
    <xf numFmtId="44" fontId="0" fillId="0" borderId="9" xfId="0" applyNumberFormat="1" applyBorder="1"/>
    <xf numFmtId="44" fontId="2" fillId="0" borderId="4" xfId="0" applyNumberFormat="1" applyFont="1" applyBorder="1"/>
    <xf numFmtId="44" fontId="2" fillId="0" borderId="8" xfId="2" applyFont="1" applyBorder="1"/>
    <xf numFmtId="44" fontId="2" fillId="0" borderId="3" xfId="0" applyNumberFormat="1" applyFont="1" applyBorder="1"/>
    <xf numFmtId="44" fontId="2" fillId="0" borderId="6" xfId="0" applyNumberFormat="1" applyFont="1" applyBorder="1"/>
    <xf numFmtId="164" fontId="0" fillId="0" borderId="3" xfId="0" applyNumberFormat="1" applyBorder="1"/>
    <xf numFmtId="164" fontId="1" fillId="0" borderId="3" xfId="1" applyNumberFormat="1" applyFont="1" applyBorder="1"/>
    <xf numFmtId="44" fontId="1" fillId="0" borderId="0" xfId="2" applyFont="1" applyBorder="1"/>
    <xf numFmtId="44" fontId="2" fillId="0" borderId="3" xfId="2" applyFont="1" applyBorder="1"/>
    <xf numFmtId="164" fontId="0" fillId="0" borderId="8" xfId="0" applyNumberFormat="1" applyBorder="1"/>
    <xf numFmtId="44" fontId="2" fillId="2" borderId="9" xfId="2" applyFont="1" applyFill="1" applyBorder="1"/>
    <xf numFmtId="164" fontId="0" fillId="0" borderId="4" xfId="0" applyNumberFormat="1" applyBorder="1"/>
    <xf numFmtId="164" fontId="0" fillId="0" borderId="6" xfId="0" applyNumberFormat="1" applyBorder="1"/>
    <xf numFmtId="44" fontId="0" fillId="0" borderId="4" xfId="2" applyFont="1" applyBorder="1"/>
    <xf numFmtId="44" fontId="0" fillId="0" borderId="0" xfId="2" applyFont="1" applyFill="1" applyBorder="1"/>
    <xf numFmtId="0" fontId="2" fillId="0" borderId="7" xfId="0" applyFont="1" applyBorder="1"/>
    <xf numFmtId="0" fontId="5" fillId="0" borderId="0" xfId="0" applyFont="1"/>
    <xf numFmtId="44" fontId="0" fillId="2" borderId="11" xfId="0" applyNumberFormat="1" applyFill="1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44" fontId="2" fillId="2" borderId="0" xfId="0" applyNumberFormat="1" applyFont="1" applyFill="1"/>
    <xf numFmtId="44" fontId="2" fillId="0" borderId="1" xfId="0" applyNumberFormat="1" applyFont="1" applyBorder="1"/>
    <xf numFmtId="9" fontId="0" fillId="0" borderId="0" xfId="0" applyNumberFormat="1"/>
    <xf numFmtId="9" fontId="0" fillId="0" borderId="0" xfId="3" applyFont="1"/>
    <xf numFmtId="168" fontId="0" fillId="0" borderId="0" xfId="0" applyNumberFormat="1"/>
    <xf numFmtId="0" fontId="0" fillId="0" borderId="8" xfId="0" applyBorder="1" applyAlignment="1">
      <alignment horizontal="center"/>
    </xf>
    <xf numFmtId="9" fontId="2" fillId="0" borderId="0" xfId="3" applyFont="1"/>
    <xf numFmtId="0" fontId="2" fillId="0" borderId="0" xfId="0" applyFont="1" applyAlignment="1">
      <alignment horizontal="left"/>
    </xf>
    <xf numFmtId="44" fontId="0" fillId="4" borderId="0" xfId="0" applyNumberFormat="1" applyFill="1"/>
    <xf numFmtId="0" fontId="0" fillId="0" borderId="8" xfId="0" applyBorder="1" applyAlignment="1">
      <alignment horizontal="right"/>
    </xf>
    <xf numFmtId="0" fontId="0" fillId="3" borderId="0" xfId="0" applyFill="1"/>
    <xf numFmtId="168" fontId="2" fillId="0" borderId="0" xfId="0" applyNumberFormat="1" applyFont="1"/>
    <xf numFmtId="2" fontId="2" fillId="0" borderId="0" xfId="3" applyNumberFormat="1" applyFont="1"/>
    <xf numFmtId="1" fontId="0" fillId="0" borderId="0" xfId="0" applyNumberFormat="1"/>
    <xf numFmtId="2" fontId="2" fillId="0" borderId="0" xfId="0" applyNumberFormat="1" applyFont="1"/>
    <xf numFmtId="43" fontId="2" fillId="0" borderId="0" xfId="0" applyNumberFormat="1" applyFont="1"/>
    <xf numFmtId="2" fontId="2" fillId="0" borderId="0" xfId="2" applyNumberFormat="1" applyFont="1"/>
    <xf numFmtId="0" fontId="2" fillId="2" borderId="0" xfId="0" applyFont="1" applyFill="1"/>
    <xf numFmtId="44" fontId="0" fillId="5" borderId="0" xfId="0" applyNumberFormat="1" applyFill="1"/>
    <xf numFmtId="44" fontId="0" fillId="5" borderId="8" xfId="0" applyNumberFormat="1" applyFill="1" applyBorder="1"/>
    <xf numFmtId="44" fontId="0" fillId="5" borderId="0" xfId="2" applyFont="1" applyFill="1"/>
    <xf numFmtId="0" fontId="0" fillId="0" borderId="0" xfId="0" applyAlignment="1">
      <alignment horizontal="left"/>
    </xf>
    <xf numFmtId="44" fontId="7" fillId="5" borderId="1" xfId="0" applyNumberFormat="1" applyFont="1" applyFill="1" applyBorder="1"/>
    <xf numFmtId="44" fontId="7" fillId="5" borderId="1" xfId="2" applyFont="1" applyFill="1" applyBorder="1" applyAlignment="1"/>
    <xf numFmtId="44" fontId="7" fillId="0" borderId="0" xfId="0" applyNumberFormat="1" applyFont="1"/>
    <xf numFmtId="44" fontId="7" fillId="0" borderId="0" xfId="2" applyFont="1" applyFill="1" applyAlignment="1"/>
    <xf numFmtId="44" fontId="6" fillId="0" borderId="0" xfId="2" applyFont="1" applyFill="1" applyAlignment="1">
      <alignment horizontal="center"/>
    </xf>
    <xf numFmtId="44" fontId="6" fillId="0" borderId="0" xfId="0" applyNumberFormat="1" applyFont="1"/>
    <xf numFmtId="44" fontId="0" fillId="5" borderId="1" xfId="2" applyFont="1" applyFill="1" applyBorder="1"/>
    <xf numFmtId="0" fontId="0" fillId="0" borderId="14" xfId="0" applyBorder="1" applyAlignment="1">
      <alignment horizontal="center"/>
    </xf>
    <xf numFmtId="44" fontId="0" fillId="0" borderId="14" xfId="0" applyNumberFormat="1" applyBorder="1"/>
    <xf numFmtId="44" fontId="1" fillId="0" borderId="0" xfId="2" applyFont="1"/>
    <xf numFmtId="44" fontId="1" fillId="0" borderId="1" xfId="2" applyFont="1" applyBorder="1"/>
    <xf numFmtId="44" fontId="0" fillId="0" borderId="8" xfId="0" applyNumberFormat="1" applyBorder="1"/>
    <xf numFmtId="0" fontId="0" fillId="6" borderId="16" xfId="0" applyFill="1" applyBorder="1" applyAlignment="1">
      <alignment horizontal="center"/>
    </xf>
    <xf numFmtId="44" fontId="0" fillId="0" borderId="17" xfId="0" applyNumberFormat="1" applyBorder="1"/>
    <xf numFmtId="44" fontId="0" fillId="0" borderId="18" xfId="0" applyNumberFormat="1" applyBorder="1"/>
    <xf numFmtId="0" fontId="0" fillId="6" borderId="19" xfId="0" applyFill="1" applyBorder="1" applyAlignment="1">
      <alignment horizontal="center"/>
    </xf>
    <xf numFmtId="44" fontId="0" fillId="0" borderId="20" xfId="0" applyNumberFormat="1" applyBorder="1"/>
    <xf numFmtId="44" fontId="0" fillId="0" borderId="21" xfId="0" applyNumberFormat="1" applyBorder="1"/>
    <xf numFmtId="0" fontId="0" fillId="5" borderId="17" xfId="0" applyFill="1" applyBorder="1"/>
    <xf numFmtId="0" fontId="0" fillId="5" borderId="17" xfId="0" applyFill="1" applyBorder="1" applyAlignment="1">
      <alignment horizontal="left"/>
    </xf>
    <xf numFmtId="0" fontId="0" fillId="5" borderId="18" xfId="0" applyFill="1" applyBorder="1"/>
    <xf numFmtId="0" fontId="0" fillId="0" borderId="15" xfId="0" applyBorder="1"/>
    <xf numFmtId="44" fontId="0" fillId="0" borderId="15" xfId="0" applyNumberFormat="1" applyBorder="1"/>
    <xf numFmtId="44" fontId="0" fillId="0" borderId="22" xfId="0" applyNumberFormat="1" applyBorder="1"/>
    <xf numFmtId="44" fontId="0" fillId="0" borderId="23" xfId="0" applyNumberFormat="1" applyBorder="1"/>
    <xf numFmtId="0" fontId="0" fillId="5" borderId="15" xfId="0" applyFill="1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/>
    <xf numFmtId="44" fontId="0" fillId="0" borderId="24" xfId="0" applyNumberFormat="1" applyBorder="1"/>
    <xf numFmtId="0" fontId="0" fillId="0" borderId="25" xfId="0" applyBorder="1" applyAlignment="1">
      <alignment horizontal="right"/>
    </xf>
    <xf numFmtId="44" fontId="0" fillId="0" borderId="16" xfId="0" applyNumberFormat="1" applyBorder="1"/>
    <xf numFmtId="0" fontId="0" fillId="0" borderId="22" xfId="0" applyBorder="1"/>
    <xf numFmtId="0" fontId="0" fillId="0" borderId="18" xfId="0" applyBorder="1"/>
    <xf numFmtId="42" fontId="0" fillId="0" borderId="0" xfId="2" applyNumberFormat="1" applyFont="1"/>
    <xf numFmtId="44" fontId="0" fillId="0" borderId="0" xfId="0" applyNumberFormat="1" applyAlignment="1">
      <alignment horizontal="left"/>
    </xf>
    <xf numFmtId="44" fontId="0" fillId="7" borderId="22" xfId="0" applyNumberFormat="1" applyFill="1" applyBorder="1"/>
    <xf numFmtId="44" fontId="0" fillId="7" borderId="15" xfId="0" applyNumberFormat="1" applyFill="1" applyBorder="1"/>
    <xf numFmtId="4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zoomScale="85" zoomScaleNormal="85" workbookViewId="0">
      <selection activeCell="E3" sqref="E3"/>
    </sheetView>
  </sheetViews>
  <sheetFormatPr defaultRowHeight="15" x14ac:dyDescent="0.25"/>
  <cols>
    <col min="1" max="1" width="24.28515625" bestFit="1" customWidth="1"/>
    <col min="2" max="2" width="6.85546875" customWidth="1"/>
    <col min="3" max="3" width="15.5703125" bestFit="1" customWidth="1"/>
    <col min="4" max="4" width="11.7109375" bestFit="1" customWidth="1"/>
    <col min="6" max="7" width="12.42578125" bestFit="1" customWidth="1"/>
    <col min="8" max="8" width="12.140625" bestFit="1" customWidth="1"/>
    <col min="10" max="11" width="12.7109375" bestFit="1" customWidth="1"/>
    <col min="12" max="12" width="11.140625" bestFit="1" customWidth="1"/>
  </cols>
  <sheetData>
    <row r="1" spans="1:16" ht="15.75" thickBot="1" x14ac:dyDescent="0.3">
      <c r="J1" s="5" t="s">
        <v>191</v>
      </c>
      <c r="K1" s="5" t="s">
        <v>190</v>
      </c>
      <c r="L1" s="5" t="s">
        <v>212</v>
      </c>
      <c r="M1" s="5"/>
      <c r="N1" s="5"/>
      <c r="O1" s="5"/>
      <c r="P1" s="5"/>
    </row>
    <row r="2" spans="1:16" ht="15.75" thickBot="1" x14ac:dyDescent="0.3">
      <c r="A2" s="38" t="s">
        <v>66</v>
      </c>
      <c r="B2" s="39"/>
      <c r="C2" s="39"/>
      <c r="D2" s="57">
        <v>0</v>
      </c>
      <c r="E2" s="39">
        <v>0</v>
      </c>
      <c r="F2" s="58">
        <v>0</v>
      </c>
      <c r="G2" s="58">
        <v>0</v>
      </c>
      <c r="H2" s="59"/>
      <c r="J2" s="6">
        <f>G2-F2</f>
        <v>0</v>
      </c>
      <c r="K2" s="6">
        <f>J2*0.05</f>
        <v>0</v>
      </c>
    </row>
    <row r="3" spans="1:16" ht="15.75" thickBot="1" x14ac:dyDescent="0.3">
      <c r="F3" s="4"/>
    </row>
    <row r="4" spans="1:16" x14ac:dyDescent="0.25">
      <c r="A4" s="26" t="s">
        <v>7</v>
      </c>
      <c r="B4" s="55"/>
      <c r="C4" s="27"/>
      <c r="D4" s="27"/>
      <c r="E4" s="27"/>
      <c r="F4" s="27"/>
      <c r="G4" s="27"/>
      <c r="H4" s="28"/>
    </row>
    <row r="5" spans="1:16" x14ac:dyDescent="0.25">
      <c r="A5" s="41"/>
      <c r="B5" s="1"/>
      <c r="C5" t="s">
        <v>8</v>
      </c>
      <c r="F5" s="82">
        <v>0</v>
      </c>
      <c r="H5" s="30"/>
      <c r="I5">
        <v>4</v>
      </c>
      <c r="J5" s="4">
        <f>F5*0.25</f>
        <v>0</v>
      </c>
      <c r="K5" s="6">
        <f>J5*0.05</f>
        <v>0</v>
      </c>
    </row>
    <row r="6" spans="1:16" x14ac:dyDescent="0.25">
      <c r="A6" s="29"/>
      <c r="C6" t="s">
        <v>1</v>
      </c>
      <c r="D6" s="43">
        <v>0</v>
      </c>
      <c r="E6">
        <v>0</v>
      </c>
      <c r="F6" s="6">
        <f t="shared" ref="F6:F11" si="0">D6*E6</f>
        <v>0</v>
      </c>
      <c r="H6" s="30"/>
      <c r="I6">
        <v>1</v>
      </c>
      <c r="K6" s="6">
        <f>F6*0.35</f>
        <v>0</v>
      </c>
    </row>
    <row r="7" spans="1:16" x14ac:dyDescent="0.25">
      <c r="A7" s="29"/>
      <c r="C7" t="s">
        <v>2</v>
      </c>
      <c r="D7" s="43">
        <v>0</v>
      </c>
      <c r="E7">
        <v>0</v>
      </c>
      <c r="F7" s="6">
        <f t="shared" si="0"/>
        <v>0</v>
      </c>
      <c r="H7" s="30"/>
      <c r="I7">
        <v>2</v>
      </c>
      <c r="K7" s="6">
        <f>F7*0.3</f>
        <v>0</v>
      </c>
      <c r="L7" s="6"/>
    </row>
    <row r="8" spans="1:16" x14ac:dyDescent="0.25">
      <c r="A8" s="29"/>
      <c r="C8" t="s">
        <v>3</v>
      </c>
      <c r="D8" s="43">
        <v>0</v>
      </c>
      <c r="E8">
        <v>0</v>
      </c>
      <c r="F8" s="6">
        <f t="shared" si="0"/>
        <v>0</v>
      </c>
      <c r="H8" s="30"/>
      <c r="I8">
        <v>1</v>
      </c>
      <c r="K8" s="6">
        <f>F8</f>
        <v>0</v>
      </c>
    </row>
    <row r="9" spans="1:16" x14ac:dyDescent="0.25">
      <c r="A9" s="29"/>
      <c r="C9" t="s">
        <v>4</v>
      </c>
      <c r="D9" s="43">
        <v>0</v>
      </c>
      <c r="E9">
        <f>E6*1.2</f>
        <v>0</v>
      </c>
      <c r="F9" s="6">
        <f t="shared" si="0"/>
        <v>0</v>
      </c>
      <c r="H9" s="30"/>
      <c r="I9">
        <v>1</v>
      </c>
      <c r="K9" s="6">
        <f>F9</f>
        <v>0</v>
      </c>
    </row>
    <row r="10" spans="1:16" x14ac:dyDescent="0.25">
      <c r="A10" s="29"/>
      <c r="B10">
        <v>36</v>
      </c>
      <c r="C10" t="s">
        <v>5</v>
      </c>
      <c r="D10" s="43">
        <v>0</v>
      </c>
      <c r="E10">
        <v>0</v>
      </c>
      <c r="F10" s="6">
        <f t="shared" si="0"/>
        <v>0</v>
      </c>
      <c r="H10" s="30"/>
      <c r="J10" s="6">
        <f>SUM(F10:F11)</f>
        <v>0</v>
      </c>
      <c r="K10" s="6">
        <f>J10*0.75*0.4</f>
        <v>0</v>
      </c>
    </row>
    <row r="11" spans="1:16" ht="15.75" thickBot="1" x14ac:dyDescent="0.3">
      <c r="A11" s="29"/>
      <c r="B11">
        <v>8</v>
      </c>
      <c r="C11" t="s">
        <v>6</v>
      </c>
      <c r="D11" s="43">
        <v>0</v>
      </c>
      <c r="E11">
        <v>0</v>
      </c>
      <c r="F11" s="9">
        <f t="shared" si="0"/>
        <v>0</v>
      </c>
      <c r="H11" s="30"/>
    </row>
    <row r="12" spans="1:16" ht="16.5" thickTop="1" thickBot="1" x14ac:dyDescent="0.3">
      <c r="A12" s="32"/>
      <c r="B12" s="33"/>
      <c r="C12" s="56"/>
      <c r="D12" s="33"/>
      <c r="E12" s="33"/>
      <c r="F12" s="44">
        <f>SUM(F2:F11)</f>
        <v>0</v>
      </c>
      <c r="G12" s="44">
        <f>F12*1.25</f>
        <v>0</v>
      </c>
      <c r="H12" s="45"/>
      <c r="J12" s="6">
        <f>G12-F12</f>
        <v>0</v>
      </c>
      <c r="K12" s="9">
        <f>J12*0.05</f>
        <v>0</v>
      </c>
      <c r="L12">
        <f>SUM(E6:E9)</f>
        <v>0</v>
      </c>
    </row>
    <row r="13" spans="1:16" ht="15.75" thickBot="1" x14ac:dyDescent="0.3">
      <c r="C13" s="43"/>
      <c r="F13" s="10"/>
      <c r="G13" s="44"/>
      <c r="H13" s="43"/>
      <c r="I13" t="s">
        <v>208</v>
      </c>
      <c r="K13" s="6">
        <f>SUM(K5:K12)</f>
        <v>0</v>
      </c>
    </row>
    <row r="14" spans="1:16" x14ac:dyDescent="0.25">
      <c r="A14" s="46" t="s">
        <v>240</v>
      </c>
      <c r="B14" s="47"/>
      <c r="C14" s="47"/>
      <c r="D14" s="47"/>
      <c r="E14" s="47"/>
      <c r="F14" s="47"/>
      <c r="G14" s="47"/>
      <c r="H14" s="28"/>
    </row>
    <row r="15" spans="1:16" x14ac:dyDescent="0.25">
      <c r="A15" s="48" t="s">
        <v>93</v>
      </c>
      <c r="B15" s="8"/>
      <c r="C15" s="8" t="s">
        <v>8</v>
      </c>
      <c r="D15" s="8"/>
      <c r="E15" s="8"/>
      <c r="F15" s="42">
        <v>0</v>
      </c>
      <c r="G15" s="8"/>
      <c r="H15" s="30"/>
      <c r="J15" s="4">
        <f>F15*0.25</f>
        <v>0</v>
      </c>
      <c r="K15" s="6">
        <f>J15*0.05</f>
        <v>0</v>
      </c>
    </row>
    <row r="16" spans="1:16" x14ac:dyDescent="0.25">
      <c r="A16" s="49">
        <f>169/6</f>
        <v>28.166666666666668</v>
      </c>
      <c r="B16" s="8"/>
      <c r="C16" s="8" t="s">
        <v>1</v>
      </c>
      <c r="D16" s="42">
        <v>0</v>
      </c>
      <c r="E16" s="8">
        <v>0</v>
      </c>
      <c r="F16" s="50">
        <f t="shared" ref="F16:F21" si="1">D16*E16</f>
        <v>0</v>
      </c>
      <c r="G16" s="8"/>
      <c r="H16" s="30"/>
      <c r="K16" s="6">
        <f>F16*0.35</f>
        <v>0</v>
      </c>
    </row>
    <row r="17" spans="1:12" x14ac:dyDescent="0.25">
      <c r="A17" s="51">
        <f>169/4</f>
        <v>42.25</v>
      </c>
      <c r="B17" s="8"/>
      <c r="C17" s="8" t="s">
        <v>2</v>
      </c>
      <c r="D17" s="42">
        <v>0</v>
      </c>
      <c r="E17" s="8">
        <v>0</v>
      </c>
      <c r="F17" s="50">
        <f t="shared" si="1"/>
        <v>0</v>
      </c>
      <c r="G17" s="8"/>
      <c r="H17" s="30"/>
      <c r="K17" s="6">
        <f>F17*0.3</f>
        <v>0</v>
      </c>
    </row>
    <row r="18" spans="1:12" x14ac:dyDescent="0.25">
      <c r="A18" s="51"/>
      <c r="B18" s="8"/>
      <c r="C18" s="8" t="s">
        <v>3</v>
      </c>
      <c r="D18" s="42">
        <v>0</v>
      </c>
      <c r="E18" s="8">
        <v>0</v>
      </c>
      <c r="F18" s="50">
        <f t="shared" si="1"/>
        <v>0</v>
      </c>
      <c r="G18" s="8"/>
      <c r="H18" s="30"/>
      <c r="K18" s="6">
        <f>F18</f>
        <v>0</v>
      </c>
    </row>
    <row r="19" spans="1:12" x14ac:dyDescent="0.25">
      <c r="A19" s="48" t="s">
        <v>108</v>
      </c>
      <c r="B19" s="8"/>
      <c r="C19" s="8" t="s">
        <v>4</v>
      </c>
      <c r="D19" s="42">
        <v>0</v>
      </c>
      <c r="E19" s="8">
        <v>0</v>
      </c>
      <c r="F19" s="50">
        <f t="shared" si="1"/>
        <v>0</v>
      </c>
      <c r="G19" s="8"/>
      <c r="H19" s="30"/>
      <c r="K19" s="6">
        <f>F19</f>
        <v>0</v>
      </c>
    </row>
    <row r="20" spans="1:12" x14ac:dyDescent="0.25">
      <c r="A20" s="51"/>
      <c r="B20" s="8">
        <v>42</v>
      </c>
      <c r="C20" s="8" t="s">
        <v>5</v>
      </c>
      <c r="D20" s="42">
        <v>0</v>
      </c>
      <c r="E20" s="8">
        <v>0</v>
      </c>
      <c r="F20" s="50">
        <f t="shared" si="1"/>
        <v>0</v>
      </c>
      <c r="G20" s="8"/>
      <c r="H20" s="30"/>
      <c r="J20" s="6">
        <f>SUM(F20:F21)</f>
        <v>0</v>
      </c>
      <c r="K20" s="6">
        <f>J20*0.75*0.4</f>
        <v>0</v>
      </c>
    </row>
    <row r="21" spans="1:12" ht="15.75" thickBot="1" x14ac:dyDescent="0.3">
      <c r="A21" s="51"/>
      <c r="B21" s="8">
        <v>3</v>
      </c>
      <c r="C21" s="8" t="s">
        <v>6</v>
      </c>
      <c r="D21" s="42">
        <v>0</v>
      </c>
      <c r="E21" s="8">
        <v>0</v>
      </c>
      <c r="F21" s="25">
        <f t="shared" si="1"/>
        <v>0</v>
      </c>
      <c r="G21" s="8"/>
      <c r="H21" s="30"/>
    </row>
    <row r="22" spans="1:12" ht="16.5" thickTop="1" thickBot="1" x14ac:dyDescent="0.3">
      <c r="A22" s="52"/>
      <c r="B22" s="53"/>
      <c r="C22" s="53"/>
      <c r="D22" s="53"/>
      <c r="E22" s="53"/>
      <c r="F22" s="54">
        <f>SUM(F15:F21)</f>
        <v>0</v>
      </c>
      <c r="G22" s="54">
        <f>F22*1.25</f>
        <v>0</v>
      </c>
      <c r="H22" s="45"/>
      <c r="J22" s="6">
        <f>G22-F22</f>
        <v>0</v>
      </c>
      <c r="K22" s="9">
        <f>J22*0.05</f>
        <v>0</v>
      </c>
      <c r="L22">
        <f>SUM(E16:E19)</f>
        <v>0</v>
      </c>
    </row>
    <row r="23" spans="1:12" x14ac:dyDescent="0.25">
      <c r="K23" s="6">
        <f>SUM(K15:K22)</f>
        <v>0</v>
      </c>
    </row>
    <row r="25" spans="1:12" x14ac:dyDescent="0.25">
      <c r="F25" s="1" t="s">
        <v>50</v>
      </c>
      <c r="G25" s="10">
        <f>G22+G12+G2</f>
        <v>0</v>
      </c>
      <c r="H25" s="4"/>
      <c r="I25" t="s">
        <v>208</v>
      </c>
      <c r="K25" s="10">
        <f>K2+K23+K13</f>
        <v>0</v>
      </c>
      <c r="L25" s="1">
        <f>SUM(L4:L24)</f>
        <v>0</v>
      </c>
    </row>
    <row r="26" spans="1:12" x14ac:dyDescent="0.25">
      <c r="L26" s="100">
        <f>L25/2080</f>
        <v>0</v>
      </c>
    </row>
    <row r="27" spans="1:12" x14ac:dyDescent="0.25">
      <c r="L27" s="1"/>
    </row>
  </sheetData>
  <pageMargins left="0.7" right="0.7" top="0.75" bottom="0.75" header="0.3" footer="0.3"/>
  <pageSetup scale="7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1"/>
  <sheetViews>
    <sheetView topLeftCell="A19" zoomScaleNormal="100" workbookViewId="0">
      <selection activeCell="B17" sqref="B17"/>
    </sheetView>
  </sheetViews>
  <sheetFormatPr defaultRowHeight="15" x14ac:dyDescent="0.25"/>
  <cols>
    <col min="1" max="1" width="23.28515625" bestFit="1" customWidth="1"/>
    <col min="2" max="2" width="16" bestFit="1" customWidth="1"/>
    <col min="3" max="3" width="13.5703125" customWidth="1"/>
    <col min="4" max="4" width="10.140625" bestFit="1" customWidth="1"/>
    <col min="6" max="7" width="12.42578125" bestFit="1" customWidth="1"/>
    <col min="8" max="9" width="10.140625" bestFit="1" customWidth="1"/>
    <col min="10" max="10" width="12.85546875" customWidth="1"/>
    <col min="11" max="11" width="12.42578125" bestFit="1" customWidth="1"/>
    <col min="12" max="12" width="12.5703125" bestFit="1" customWidth="1"/>
  </cols>
  <sheetData>
    <row r="2" spans="1:12" ht="21.75" thickBot="1" x14ac:dyDescent="0.4">
      <c r="B2" s="84" t="s">
        <v>213</v>
      </c>
      <c r="K2" t="s">
        <v>190</v>
      </c>
      <c r="L2" t="s">
        <v>212</v>
      </c>
    </row>
    <row r="3" spans="1:12" x14ac:dyDescent="0.25">
      <c r="A3" s="26" t="s">
        <v>9</v>
      </c>
      <c r="B3" s="65">
        <v>65000</v>
      </c>
      <c r="C3" s="27">
        <v>2.5</v>
      </c>
      <c r="D3" s="73">
        <f>B3*C3/27*1.4</f>
        <v>8425.9259259259252</v>
      </c>
      <c r="E3" s="27">
        <v>3</v>
      </c>
      <c r="F3" s="73">
        <f>B3*E3/27*1.4</f>
        <v>10111.111111111111</v>
      </c>
      <c r="G3" s="27">
        <v>3.5</v>
      </c>
      <c r="H3" s="79">
        <f>B3*G3/27*1.4</f>
        <v>11796.296296296294</v>
      </c>
    </row>
    <row r="4" spans="1:12" x14ac:dyDescent="0.25">
      <c r="A4" s="29"/>
      <c r="C4">
        <v>1000</v>
      </c>
      <c r="D4" s="3">
        <f>D3/C4</f>
        <v>8.4259259259259256</v>
      </c>
      <c r="E4">
        <v>1000</v>
      </c>
      <c r="F4" s="3">
        <f>F3/E4</f>
        <v>10.111111111111111</v>
      </c>
      <c r="G4">
        <v>1000</v>
      </c>
      <c r="H4" s="80">
        <f>H3/G4</f>
        <v>11.796296296296294</v>
      </c>
    </row>
    <row r="5" spans="1:12" x14ac:dyDescent="0.25">
      <c r="A5" s="29"/>
      <c r="C5">
        <v>1200</v>
      </c>
      <c r="D5" s="3">
        <f>D3/C5</f>
        <v>7.0216049382716044</v>
      </c>
      <c r="E5">
        <v>1200</v>
      </c>
      <c r="F5" s="3">
        <f>F3/E5</f>
        <v>8.4259259259259256</v>
      </c>
      <c r="G5">
        <v>1200</v>
      </c>
      <c r="H5" s="80">
        <f>H3/G5</f>
        <v>9.830246913580245</v>
      </c>
    </row>
    <row r="6" spans="1:12" x14ac:dyDescent="0.25">
      <c r="A6" s="29"/>
      <c r="C6">
        <v>1500</v>
      </c>
      <c r="D6" s="3">
        <f>D3/C6</f>
        <v>5.6172839506172831</v>
      </c>
      <c r="E6">
        <v>1500</v>
      </c>
      <c r="F6" s="3">
        <f>F3/E6</f>
        <v>6.7407407407407405</v>
      </c>
      <c r="G6">
        <v>1500</v>
      </c>
      <c r="H6" s="80">
        <f>H3/G6</f>
        <v>7.864197530864196</v>
      </c>
    </row>
    <row r="7" spans="1:12" x14ac:dyDescent="0.25">
      <c r="A7" s="29"/>
      <c r="B7" t="s">
        <v>68</v>
      </c>
      <c r="C7" s="43">
        <v>50000</v>
      </c>
      <c r="D7" s="3">
        <v>1</v>
      </c>
      <c r="F7" s="43">
        <f>C7*D7</f>
        <v>50000</v>
      </c>
      <c r="H7" s="80"/>
      <c r="I7">
        <v>1</v>
      </c>
      <c r="J7" s="6">
        <f>F7*0.25</f>
        <v>12500</v>
      </c>
      <c r="K7" s="6">
        <f>J7*0.05</f>
        <v>625</v>
      </c>
    </row>
    <row r="8" spans="1:12" x14ac:dyDescent="0.25">
      <c r="A8" s="29"/>
      <c r="B8" t="s">
        <v>10</v>
      </c>
      <c r="C8" s="43">
        <v>140</v>
      </c>
      <c r="D8">
        <v>1</v>
      </c>
      <c r="E8" s="3">
        <f>D8*H4*8</f>
        <v>94.370370370370352</v>
      </c>
      <c r="F8" s="43">
        <f>C8*E8</f>
        <v>13211.851851851849</v>
      </c>
      <c r="H8" s="30"/>
      <c r="I8">
        <v>1</v>
      </c>
      <c r="K8" s="6">
        <f>F8*0.35</f>
        <v>4624.1481481481469</v>
      </c>
    </row>
    <row r="9" spans="1:12" x14ac:dyDescent="0.25">
      <c r="A9" s="29"/>
      <c r="B9" t="s">
        <v>11</v>
      </c>
      <c r="C9" s="43">
        <v>120</v>
      </c>
      <c r="D9">
        <v>2</v>
      </c>
      <c r="E9" s="3">
        <f>D9*H4*8</f>
        <v>188.7407407407407</v>
      </c>
      <c r="F9" s="43">
        <f>C9*E9</f>
        <v>22648.888888888883</v>
      </c>
      <c r="H9" s="30"/>
      <c r="I9">
        <v>2</v>
      </c>
      <c r="K9" s="6">
        <f>F9*0.35</f>
        <v>7927.1111111111086</v>
      </c>
    </row>
    <row r="10" spans="1:12" x14ac:dyDescent="0.25">
      <c r="A10" s="29"/>
      <c r="B10" t="s">
        <v>12</v>
      </c>
      <c r="C10" s="43">
        <v>80</v>
      </c>
      <c r="D10">
        <v>4</v>
      </c>
      <c r="E10" s="3">
        <f>D10*H4*8</f>
        <v>377.48148148148141</v>
      </c>
      <c r="F10" s="43">
        <f>C10*E10</f>
        <v>30198.518518518511</v>
      </c>
      <c r="H10" s="30"/>
      <c r="I10">
        <v>4</v>
      </c>
      <c r="K10" s="6">
        <f>F10*0.3</f>
        <v>9059.5555555555529</v>
      </c>
    </row>
    <row r="11" spans="1:12" x14ac:dyDescent="0.25">
      <c r="A11" s="29"/>
      <c r="B11" t="s">
        <v>13</v>
      </c>
      <c r="C11" s="43">
        <v>45</v>
      </c>
      <c r="D11">
        <v>1</v>
      </c>
      <c r="E11" s="3">
        <f>D11*H4*8</f>
        <v>94.370370370370352</v>
      </c>
      <c r="F11" s="43">
        <f>C11*E11</f>
        <v>4246.6666666666661</v>
      </c>
      <c r="H11" s="30"/>
      <c r="I11">
        <v>1</v>
      </c>
      <c r="K11" s="6">
        <f>F11</f>
        <v>4246.6666666666661</v>
      </c>
    </row>
    <row r="12" spans="1:12" ht="15.75" thickBot="1" x14ac:dyDescent="0.3">
      <c r="A12" s="29"/>
      <c r="B12" t="s">
        <v>4</v>
      </c>
      <c r="C12" s="43">
        <v>55</v>
      </c>
      <c r="D12">
        <v>1.2</v>
      </c>
      <c r="E12" s="3">
        <f>D12*H4*8</f>
        <v>113.24444444444443</v>
      </c>
      <c r="F12" s="7">
        <f>C12*E12</f>
        <v>6228.4444444444434</v>
      </c>
      <c r="H12" s="30"/>
      <c r="I12">
        <v>1.2</v>
      </c>
      <c r="K12" s="6">
        <f>F12</f>
        <v>6228.4444444444434</v>
      </c>
    </row>
    <row r="13" spans="1:12" ht="16.5" thickTop="1" thickBot="1" x14ac:dyDescent="0.3">
      <c r="A13" s="32"/>
      <c r="B13" s="33"/>
      <c r="C13" s="33"/>
      <c r="D13" s="33"/>
      <c r="E13" s="33"/>
      <c r="F13" s="70">
        <f>SUM(F7:F12)</f>
        <v>126534.37037037035</v>
      </c>
      <c r="G13" s="44">
        <f>F13*1.25</f>
        <v>158167.96296296295</v>
      </c>
      <c r="H13" s="37"/>
      <c r="I13">
        <v>10.199999999999999</v>
      </c>
      <c r="J13" s="6">
        <f>G13-F13</f>
        <v>31633.592592592599</v>
      </c>
      <c r="K13" s="9">
        <f>J13*0.05</f>
        <v>1581.67962962963</v>
      </c>
      <c r="L13" s="103">
        <f>SUM(E8:E12)</f>
        <v>868.20740740740723</v>
      </c>
    </row>
    <row r="14" spans="1:12" ht="15.75" thickBot="1" x14ac:dyDescent="0.3">
      <c r="K14" s="6">
        <f>SUM(K7:K13)</f>
        <v>34292.60555555555</v>
      </c>
    </row>
    <row r="15" spans="1:12" ht="15.75" thickBot="1" x14ac:dyDescent="0.3">
      <c r="A15" s="38" t="s">
        <v>64</v>
      </c>
      <c r="B15" s="39"/>
      <c r="C15" s="57">
        <v>20000</v>
      </c>
      <c r="D15" s="39" t="s">
        <v>65</v>
      </c>
      <c r="E15" s="39"/>
      <c r="F15" s="85">
        <f>C15</f>
        <v>20000</v>
      </c>
      <c r="G15" s="39"/>
      <c r="H15" s="59"/>
    </row>
    <row r="16" spans="1:12" ht="15.75" thickBot="1" x14ac:dyDescent="0.3"/>
    <row r="17" spans="1:12" x14ac:dyDescent="0.25">
      <c r="A17" s="26" t="s">
        <v>14</v>
      </c>
      <c r="B17" s="64">
        <f>B3*0.2</f>
        <v>13000</v>
      </c>
      <c r="C17" s="27"/>
      <c r="D17" s="27"/>
      <c r="E17" s="27"/>
      <c r="F17" s="27"/>
      <c r="G17" s="27"/>
      <c r="H17" s="28"/>
    </row>
    <row r="18" spans="1:12" x14ac:dyDescent="0.25">
      <c r="A18" s="29"/>
      <c r="B18" t="s">
        <v>15</v>
      </c>
      <c r="C18" s="43">
        <v>130</v>
      </c>
      <c r="D18">
        <v>1</v>
      </c>
      <c r="E18">
        <v>80</v>
      </c>
      <c r="F18" s="6">
        <f>C18*E18</f>
        <v>10400</v>
      </c>
      <c r="H18" s="30"/>
      <c r="K18" s="6">
        <f>F18*0.35</f>
        <v>3639.9999999999995</v>
      </c>
    </row>
    <row r="19" spans="1:12" x14ac:dyDescent="0.25">
      <c r="A19" s="29"/>
      <c r="B19" t="s">
        <v>16</v>
      </c>
      <c r="C19" s="43">
        <v>90</v>
      </c>
      <c r="D19">
        <v>1</v>
      </c>
      <c r="E19">
        <v>80</v>
      </c>
      <c r="F19" s="6">
        <f>C19*E19</f>
        <v>7200</v>
      </c>
      <c r="H19" s="30"/>
      <c r="K19" s="6">
        <f>F19*0.35</f>
        <v>2520</v>
      </c>
    </row>
    <row r="20" spans="1:12" x14ac:dyDescent="0.25">
      <c r="A20" s="29"/>
      <c r="B20" t="s">
        <v>13</v>
      </c>
      <c r="C20" s="43">
        <v>45</v>
      </c>
      <c r="D20">
        <v>1</v>
      </c>
      <c r="E20">
        <v>80</v>
      </c>
      <c r="F20" s="6">
        <f>C20*E20</f>
        <v>3600</v>
      </c>
      <c r="H20" s="30"/>
      <c r="K20" s="6">
        <f>F20</f>
        <v>3600</v>
      </c>
    </row>
    <row r="21" spans="1:12" x14ac:dyDescent="0.25">
      <c r="A21" s="29"/>
      <c r="B21" t="s">
        <v>4</v>
      </c>
      <c r="C21" s="43">
        <v>55</v>
      </c>
      <c r="D21">
        <v>1.2</v>
      </c>
      <c r="E21">
        <v>80</v>
      </c>
      <c r="F21" s="6">
        <f>C21*E21</f>
        <v>4400</v>
      </c>
      <c r="H21" s="30"/>
      <c r="K21" s="6">
        <f>F21</f>
        <v>4400</v>
      </c>
    </row>
    <row r="22" spans="1:12" ht="15.75" thickBot="1" x14ac:dyDescent="0.3">
      <c r="A22" s="29"/>
      <c r="B22" t="s">
        <v>17</v>
      </c>
      <c r="C22" s="43">
        <v>90</v>
      </c>
      <c r="D22">
        <v>1</v>
      </c>
      <c r="E22">
        <v>80</v>
      </c>
      <c r="F22" s="9">
        <f>C22*E22</f>
        <v>7200</v>
      </c>
      <c r="H22" s="30"/>
      <c r="K22" s="6">
        <f>F22*0.3</f>
        <v>2160</v>
      </c>
    </row>
    <row r="23" spans="1:12" ht="16.5" thickTop="1" thickBot="1" x14ac:dyDescent="0.3">
      <c r="A23" s="32"/>
      <c r="B23" s="33"/>
      <c r="C23" s="33"/>
      <c r="D23" s="33"/>
      <c r="E23" s="33"/>
      <c r="F23" s="44">
        <f>SUM(F15:F22)</f>
        <v>52800</v>
      </c>
      <c r="G23" s="44">
        <f>F23*1.25</f>
        <v>66000</v>
      </c>
      <c r="H23" s="37"/>
      <c r="J23" s="6">
        <f>G23-F23</f>
        <v>13200</v>
      </c>
      <c r="K23" s="9">
        <f>J23*0.05</f>
        <v>660</v>
      </c>
      <c r="L23" s="102">
        <f>SUM(E18:E22)</f>
        <v>400</v>
      </c>
    </row>
    <row r="24" spans="1:12" ht="15.75" thickBot="1" x14ac:dyDescent="0.3">
      <c r="K24" s="6">
        <f>SUM(K18:K23)</f>
        <v>16980</v>
      </c>
    </row>
    <row r="25" spans="1:12" x14ac:dyDescent="0.25">
      <c r="A25" s="26" t="s">
        <v>19</v>
      </c>
      <c r="B25" s="62">
        <f>B3*1/27*1.8</f>
        <v>4333.333333333333</v>
      </c>
      <c r="C25" s="63">
        <v>33</v>
      </c>
      <c r="D25" s="27"/>
      <c r="E25" s="27"/>
      <c r="F25" s="27"/>
      <c r="G25" s="27"/>
      <c r="H25" s="28"/>
    </row>
    <row r="26" spans="1:12" x14ac:dyDescent="0.25">
      <c r="A26" s="29"/>
      <c r="B26" t="s">
        <v>15</v>
      </c>
      <c r="C26" s="43">
        <v>130</v>
      </c>
      <c r="D26">
        <v>1</v>
      </c>
      <c r="E26">
        <f>16*9</f>
        <v>144</v>
      </c>
      <c r="F26" s="6">
        <f>C26*E26</f>
        <v>18720</v>
      </c>
      <c r="H26" s="30"/>
      <c r="I26" s="3">
        <v>1</v>
      </c>
      <c r="K26" s="6">
        <f>F26*0.35</f>
        <v>6552</v>
      </c>
    </row>
    <row r="27" spans="1:12" x14ac:dyDescent="0.25">
      <c r="A27" s="29"/>
      <c r="B27" t="s">
        <v>16</v>
      </c>
      <c r="C27" s="43">
        <v>90</v>
      </c>
      <c r="D27">
        <v>1</v>
      </c>
      <c r="E27">
        <v>144</v>
      </c>
      <c r="F27" s="6">
        <f t="shared" ref="F27:F33" si="0">C27*E27</f>
        <v>12960</v>
      </c>
      <c r="H27" s="30"/>
      <c r="I27" s="3">
        <v>1</v>
      </c>
      <c r="K27" s="6">
        <f>F27*0.35</f>
        <v>4536</v>
      </c>
    </row>
    <row r="28" spans="1:12" x14ac:dyDescent="0.25">
      <c r="A28" s="29"/>
      <c r="B28" t="s">
        <v>12</v>
      </c>
      <c r="C28" s="43">
        <v>110</v>
      </c>
      <c r="E28">
        <v>650</v>
      </c>
      <c r="F28" s="6">
        <f t="shared" si="0"/>
        <v>71500</v>
      </c>
      <c r="H28" s="30"/>
      <c r="I28">
        <v>5</v>
      </c>
      <c r="K28" s="11">
        <f>F28*0.3</f>
        <v>21450</v>
      </c>
    </row>
    <row r="29" spans="1:12" x14ac:dyDescent="0.25">
      <c r="A29" s="29"/>
      <c r="B29" t="s">
        <v>13</v>
      </c>
      <c r="C29" s="43">
        <v>45</v>
      </c>
      <c r="D29">
        <v>2</v>
      </c>
      <c r="E29">
        <v>144</v>
      </c>
      <c r="F29" s="6">
        <f t="shared" si="0"/>
        <v>6480</v>
      </c>
      <c r="H29" s="30"/>
      <c r="I29">
        <v>2</v>
      </c>
      <c r="K29" s="6">
        <f>F29</f>
        <v>6480</v>
      </c>
    </row>
    <row r="30" spans="1:12" x14ac:dyDescent="0.25">
      <c r="A30" s="29"/>
      <c r="B30" t="s">
        <v>4</v>
      </c>
      <c r="C30" s="43">
        <v>55</v>
      </c>
      <c r="D30">
        <v>1.2</v>
      </c>
      <c r="E30">
        <v>144</v>
      </c>
      <c r="F30" s="6">
        <f t="shared" si="0"/>
        <v>7920</v>
      </c>
      <c r="H30" s="30"/>
      <c r="I30">
        <v>1</v>
      </c>
      <c r="K30" s="11">
        <f>F30</f>
        <v>7920</v>
      </c>
    </row>
    <row r="31" spans="1:12" x14ac:dyDescent="0.25">
      <c r="A31" s="29"/>
      <c r="B31" t="s">
        <v>62</v>
      </c>
      <c r="C31" s="43">
        <v>1.5</v>
      </c>
      <c r="D31">
        <v>17777</v>
      </c>
      <c r="F31" s="6">
        <f>C31*D31</f>
        <v>26665.5</v>
      </c>
      <c r="H31" s="30"/>
      <c r="K31" s="11">
        <f>F31*0.3</f>
        <v>7999.65</v>
      </c>
    </row>
    <row r="32" spans="1:12" x14ac:dyDescent="0.25">
      <c r="A32" s="29"/>
      <c r="B32" t="s">
        <v>18</v>
      </c>
      <c r="C32" s="43">
        <v>12</v>
      </c>
      <c r="D32">
        <v>10750</v>
      </c>
      <c r="F32" s="6">
        <f>C32*D32</f>
        <v>129000</v>
      </c>
      <c r="H32" s="30"/>
      <c r="K32" s="6">
        <f>F32*0.35</f>
        <v>45150</v>
      </c>
      <c r="L32" s="101"/>
    </row>
    <row r="33" spans="1:12" ht="15.75" thickBot="1" x14ac:dyDescent="0.3">
      <c r="A33" s="29"/>
      <c r="B33" t="s">
        <v>17</v>
      </c>
      <c r="C33" s="43">
        <v>90</v>
      </c>
      <c r="D33">
        <v>1</v>
      </c>
      <c r="E33">
        <f>144*0.75</f>
        <v>108</v>
      </c>
      <c r="F33" s="9">
        <f t="shared" si="0"/>
        <v>9720</v>
      </c>
      <c r="H33" s="30"/>
      <c r="I33">
        <v>1</v>
      </c>
      <c r="K33" s="6">
        <f>F33*0.3</f>
        <v>2916</v>
      </c>
    </row>
    <row r="34" spans="1:12" ht="16.5" thickTop="1" thickBot="1" x14ac:dyDescent="0.3">
      <c r="A34" s="32"/>
      <c r="B34" s="33"/>
      <c r="C34" s="33"/>
      <c r="D34" s="33"/>
      <c r="E34" s="33"/>
      <c r="F34" s="44">
        <f>SUM(F26:F33)</f>
        <v>282965.5</v>
      </c>
      <c r="G34" s="44">
        <f>F34*1.25</f>
        <v>353706.875</v>
      </c>
      <c r="H34" s="37"/>
      <c r="J34" s="6">
        <f>G34-F34</f>
        <v>70741.375</v>
      </c>
      <c r="K34" s="9">
        <f>J34*0.05</f>
        <v>3537.0687500000004</v>
      </c>
      <c r="L34" s="102">
        <v>2299</v>
      </c>
    </row>
    <row r="35" spans="1:12" ht="15.75" thickBot="1" x14ac:dyDescent="0.3">
      <c r="K35" s="6">
        <f>SUM(K26:K34)</f>
        <v>106540.71875</v>
      </c>
    </row>
    <row r="36" spans="1:12" x14ac:dyDescent="0.25">
      <c r="A36" s="26" t="s">
        <v>20</v>
      </c>
      <c r="B36" s="27"/>
      <c r="C36" s="27"/>
      <c r="D36" s="27"/>
      <c r="E36" s="27"/>
      <c r="F36" s="27"/>
      <c r="G36" s="27"/>
      <c r="H36" s="28"/>
    </row>
    <row r="37" spans="1:12" x14ac:dyDescent="0.25">
      <c r="A37" s="29"/>
      <c r="B37" t="s">
        <v>15</v>
      </c>
      <c r="C37" s="43">
        <v>130</v>
      </c>
      <c r="D37">
        <v>1</v>
      </c>
      <c r="E37">
        <v>80</v>
      </c>
      <c r="F37" s="6">
        <f>C37*E37</f>
        <v>10400</v>
      </c>
      <c r="H37" s="30"/>
      <c r="K37" s="6">
        <f>F37*0.35</f>
        <v>3639.9999999999995</v>
      </c>
    </row>
    <row r="38" spans="1:12" x14ac:dyDescent="0.25">
      <c r="A38" s="29"/>
      <c r="B38" t="s">
        <v>16</v>
      </c>
      <c r="C38" s="43">
        <v>90</v>
      </c>
      <c r="D38">
        <v>1</v>
      </c>
      <c r="E38">
        <v>80</v>
      </c>
      <c r="F38" s="6">
        <f>C38*E38</f>
        <v>7200</v>
      </c>
      <c r="H38" s="30"/>
      <c r="K38" s="6">
        <f>F38*0.35</f>
        <v>2520</v>
      </c>
    </row>
    <row r="39" spans="1:12" x14ac:dyDescent="0.25">
      <c r="A39" s="29"/>
      <c r="B39" t="s">
        <v>13</v>
      </c>
      <c r="C39" s="43">
        <v>45</v>
      </c>
      <c r="D39">
        <v>1</v>
      </c>
      <c r="E39">
        <v>80</v>
      </c>
      <c r="F39" s="6">
        <f>C39*E39</f>
        <v>3600</v>
      </c>
      <c r="H39" s="30"/>
      <c r="K39" s="6">
        <f>F39</f>
        <v>3600</v>
      </c>
    </row>
    <row r="40" spans="1:12" x14ac:dyDescent="0.25">
      <c r="A40" s="29"/>
      <c r="B40" t="s">
        <v>4</v>
      </c>
      <c r="C40" s="43">
        <v>55</v>
      </c>
      <c r="D40">
        <v>1.2</v>
      </c>
      <c r="E40">
        <v>80</v>
      </c>
      <c r="F40" s="6">
        <f>C40*E40</f>
        <v>4400</v>
      </c>
      <c r="H40" s="30"/>
      <c r="K40" s="6">
        <f>F40</f>
        <v>4400</v>
      </c>
    </row>
    <row r="41" spans="1:12" ht="15.75" thickBot="1" x14ac:dyDescent="0.3">
      <c r="A41" s="29"/>
      <c r="B41" t="s">
        <v>17</v>
      </c>
      <c r="C41" s="43">
        <v>90</v>
      </c>
      <c r="D41">
        <v>1</v>
      </c>
      <c r="E41">
        <v>80</v>
      </c>
      <c r="F41" s="9">
        <f>C41*E41</f>
        <v>7200</v>
      </c>
      <c r="H41" s="30"/>
      <c r="K41" s="6">
        <f>F41*0.3</f>
        <v>2160</v>
      </c>
    </row>
    <row r="42" spans="1:12" ht="16.5" thickTop="1" thickBot="1" x14ac:dyDescent="0.3">
      <c r="A42" s="32"/>
      <c r="B42" s="33"/>
      <c r="C42" s="33"/>
      <c r="D42" s="33"/>
      <c r="E42" s="33"/>
      <c r="F42" s="44">
        <f>SUM(F37:F41)</f>
        <v>32800</v>
      </c>
      <c r="G42" s="44">
        <f>F42*1.25</f>
        <v>41000</v>
      </c>
      <c r="H42" s="37"/>
      <c r="J42" s="6">
        <f>G42-F42</f>
        <v>8200</v>
      </c>
      <c r="K42" s="9">
        <f>J42*0.05</f>
        <v>410</v>
      </c>
      <c r="L42" s="102">
        <f>SUM(E37:E41)</f>
        <v>400</v>
      </c>
    </row>
    <row r="43" spans="1:12" ht="15.75" thickBot="1" x14ac:dyDescent="0.3">
      <c r="K43" s="6">
        <f>SUM(K37:K42)</f>
        <v>16730</v>
      </c>
    </row>
    <row r="44" spans="1:12" x14ac:dyDescent="0.25">
      <c r="A44" s="26" t="s">
        <v>67</v>
      </c>
      <c r="B44" s="55"/>
      <c r="C44" s="55"/>
      <c r="D44" s="27"/>
      <c r="E44" s="27"/>
      <c r="F44" s="27"/>
      <c r="G44" s="27"/>
      <c r="H44" s="28"/>
    </row>
    <row r="45" spans="1:12" x14ac:dyDescent="0.25">
      <c r="A45" s="29"/>
      <c r="B45" t="s">
        <v>21</v>
      </c>
      <c r="C45" s="43">
        <v>2500</v>
      </c>
      <c r="D45">
        <v>3</v>
      </c>
      <c r="F45" s="6">
        <f>C45*D45</f>
        <v>7500</v>
      </c>
      <c r="H45" s="30"/>
      <c r="I45">
        <v>2</v>
      </c>
      <c r="K45" s="6">
        <f>F45*0.35</f>
        <v>2625</v>
      </c>
    </row>
    <row r="46" spans="1:12" x14ac:dyDescent="0.25">
      <c r="A46" s="29"/>
      <c r="B46" t="s">
        <v>0</v>
      </c>
      <c r="C46" s="43">
        <v>2500</v>
      </c>
      <c r="D46">
        <v>0</v>
      </c>
      <c r="F46" s="6">
        <f>C46*D46</f>
        <v>0</v>
      </c>
      <c r="H46" s="30"/>
      <c r="I46">
        <v>2</v>
      </c>
      <c r="K46" s="6">
        <f>F46*0.35</f>
        <v>0</v>
      </c>
    </row>
    <row r="47" spans="1:12" x14ac:dyDescent="0.25">
      <c r="A47" s="29"/>
      <c r="B47" t="s">
        <v>30</v>
      </c>
      <c r="C47" s="43">
        <v>400</v>
      </c>
      <c r="D47">
        <v>3</v>
      </c>
      <c r="F47" s="6">
        <f>C47*D47</f>
        <v>1200</v>
      </c>
      <c r="H47" s="30"/>
      <c r="I47">
        <v>2</v>
      </c>
      <c r="K47" s="6">
        <f>F47*0.35</f>
        <v>420</v>
      </c>
    </row>
    <row r="48" spans="1:12" x14ac:dyDescent="0.25">
      <c r="A48" s="29"/>
      <c r="B48" t="s">
        <v>31</v>
      </c>
      <c r="C48" s="43">
        <v>150</v>
      </c>
      <c r="D48">
        <v>3</v>
      </c>
      <c r="F48" s="6">
        <f>C48*D48</f>
        <v>450</v>
      </c>
      <c r="H48" s="30"/>
      <c r="I48">
        <v>2</v>
      </c>
      <c r="K48" s="6">
        <f>F48*0.35</f>
        <v>157.5</v>
      </c>
    </row>
    <row r="49" spans="1:12" ht="15.75" thickBot="1" x14ac:dyDescent="0.3">
      <c r="A49" s="29"/>
      <c r="B49" t="s">
        <v>22</v>
      </c>
      <c r="C49" s="43">
        <v>250</v>
      </c>
      <c r="D49">
        <v>6</v>
      </c>
      <c r="F49" s="9">
        <f>C49*D49</f>
        <v>1500</v>
      </c>
      <c r="H49" s="30"/>
      <c r="I49">
        <v>2</v>
      </c>
      <c r="K49" s="6">
        <f>F49*0.35</f>
        <v>525</v>
      </c>
    </row>
    <row r="50" spans="1:12" ht="16.5" thickTop="1" thickBot="1" x14ac:dyDescent="0.3">
      <c r="A50" s="32"/>
      <c r="B50" s="33"/>
      <c r="C50" s="33"/>
      <c r="D50" s="33"/>
      <c r="E50" s="33"/>
      <c r="F50" s="44">
        <f>SUM(F45:F49)</f>
        <v>10650</v>
      </c>
      <c r="G50" s="44">
        <f>F50*1.25</f>
        <v>13312.5</v>
      </c>
      <c r="H50" s="37"/>
      <c r="J50" s="6">
        <f>G50-F50</f>
        <v>2662.5</v>
      </c>
      <c r="K50" s="9">
        <f>J50*0.05</f>
        <v>133.125</v>
      </c>
      <c r="L50" s="102">
        <f>K51/55</f>
        <v>70.193181818181813</v>
      </c>
    </row>
    <row r="51" spans="1:12" ht="15.75" thickBot="1" x14ac:dyDescent="0.3">
      <c r="K51" s="6">
        <f>SUM(K45:K50)</f>
        <v>3860.625</v>
      </c>
    </row>
    <row r="52" spans="1:12" x14ac:dyDescent="0.25">
      <c r="A52" s="26" t="s">
        <v>23</v>
      </c>
      <c r="B52" s="27"/>
      <c r="C52" s="27"/>
      <c r="D52" s="27"/>
      <c r="E52" s="27"/>
      <c r="F52" s="27"/>
      <c r="G52" s="27"/>
      <c r="H52" s="28"/>
    </row>
    <row r="53" spans="1:12" ht="15.75" thickBot="1" x14ac:dyDescent="0.3">
      <c r="A53" s="29"/>
      <c r="B53" t="s">
        <v>24</v>
      </c>
      <c r="C53" s="43">
        <v>2500</v>
      </c>
      <c r="D53">
        <v>4</v>
      </c>
      <c r="F53" s="9">
        <f>C53*D53</f>
        <v>10000</v>
      </c>
      <c r="H53" s="30"/>
      <c r="K53" s="6">
        <f>F53*0.35</f>
        <v>3500</v>
      </c>
    </row>
    <row r="54" spans="1:12" ht="16.5" thickTop="1" thickBot="1" x14ac:dyDescent="0.3">
      <c r="A54" s="32"/>
      <c r="B54" s="33"/>
      <c r="C54" s="33"/>
      <c r="D54" s="33"/>
      <c r="E54" s="33"/>
      <c r="F54" s="44">
        <f>SUM(F53)</f>
        <v>10000</v>
      </c>
      <c r="G54" s="44">
        <f>F54*1.25</f>
        <v>12500</v>
      </c>
      <c r="H54" s="37"/>
      <c r="J54" s="6">
        <f>G54-F54</f>
        <v>2500</v>
      </c>
      <c r="K54" s="9">
        <f>J54*0.05</f>
        <v>125</v>
      </c>
      <c r="L54" s="102">
        <f>K55/55</f>
        <v>65.909090909090907</v>
      </c>
    </row>
    <row r="55" spans="1:12" ht="15.75" thickBot="1" x14ac:dyDescent="0.3">
      <c r="K55" s="6">
        <f>SUM(K53:K54)</f>
        <v>3625</v>
      </c>
    </row>
    <row r="56" spans="1:12" x14ac:dyDescent="0.25">
      <c r="A56" s="26" t="s">
        <v>25</v>
      </c>
      <c r="B56" s="27"/>
      <c r="C56" s="27"/>
      <c r="D56" s="27"/>
      <c r="E56" s="27"/>
      <c r="F56" s="27"/>
      <c r="G56" s="27"/>
      <c r="H56" s="28"/>
    </row>
    <row r="57" spans="1:12" ht="15.75" thickBot="1" x14ac:dyDescent="0.3">
      <c r="A57" s="29"/>
      <c r="B57" t="s">
        <v>26</v>
      </c>
      <c r="C57" s="43">
        <v>100</v>
      </c>
      <c r="D57">
        <v>4</v>
      </c>
      <c r="F57" s="7">
        <f>C57*D57</f>
        <v>400</v>
      </c>
      <c r="H57" s="30"/>
      <c r="K57" s="6">
        <f>F57*0.35</f>
        <v>140</v>
      </c>
    </row>
    <row r="58" spans="1:12" ht="16.5" thickTop="1" thickBot="1" x14ac:dyDescent="0.3">
      <c r="A58" s="32"/>
      <c r="B58" s="33"/>
      <c r="C58" s="33"/>
      <c r="D58" s="33"/>
      <c r="E58" s="33"/>
      <c r="F58" s="44">
        <f>SUM(F57)</f>
        <v>400</v>
      </c>
      <c r="G58" s="44">
        <f>F58*1.25</f>
        <v>500</v>
      </c>
      <c r="H58" s="37"/>
      <c r="J58" s="6">
        <f>G58-F58</f>
        <v>100</v>
      </c>
      <c r="K58" s="9">
        <f>J58*0.05</f>
        <v>5</v>
      </c>
      <c r="L58" s="102">
        <f>K59/55</f>
        <v>2.6363636363636362</v>
      </c>
    </row>
    <row r="59" spans="1:12" x14ac:dyDescent="0.25">
      <c r="K59" s="6">
        <f>SUM(K57:K58)</f>
        <v>145</v>
      </c>
    </row>
    <row r="60" spans="1:12" x14ac:dyDescent="0.25">
      <c r="F60" s="1" t="s">
        <v>45</v>
      </c>
      <c r="G60" s="13">
        <f>SUM(G13:G59)</f>
        <v>645187.33796296292</v>
      </c>
    </row>
    <row r="61" spans="1:12" x14ac:dyDescent="0.25">
      <c r="I61" t="s">
        <v>209</v>
      </c>
      <c r="K61" s="10">
        <f>K59+K55+K51+K43+K35+K24+K14</f>
        <v>182173.94930555555</v>
      </c>
      <c r="L61" s="102">
        <f>SUM(L3:L59)</f>
        <v>4105.9460437710441</v>
      </c>
    </row>
  </sheetData>
  <pageMargins left="0.7" right="0.7" top="0.75" bottom="0.75" header="0.3" footer="0.3"/>
  <pageSetup scale="80" orientation="landscape" horizontalDpi="4294967293" verticalDpi="0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42"/>
  <sheetViews>
    <sheetView zoomScaleNormal="100" workbookViewId="0">
      <selection activeCell="G18" sqref="G18"/>
    </sheetView>
  </sheetViews>
  <sheetFormatPr defaultRowHeight="15" x14ac:dyDescent="0.25"/>
  <cols>
    <col min="2" max="2" width="18.140625" bestFit="1" customWidth="1"/>
    <col min="3" max="3" width="13.7109375" bestFit="1" customWidth="1"/>
    <col min="4" max="4" width="10.140625" bestFit="1" customWidth="1"/>
    <col min="5" max="5" width="18.28515625" bestFit="1" customWidth="1"/>
    <col min="6" max="6" width="14.140625" bestFit="1" customWidth="1"/>
    <col min="7" max="7" width="13.7109375" bestFit="1" customWidth="1"/>
    <col min="8" max="8" width="9" bestFit="1" customWidth="1"/>
    <col min="9" max="9" width="13.28515625" customWidth="1"/>
    <col min="10" max="10" width="13.85546875" customWidth="1"/>
    <col min="11" max="11" width="11.28515625" bestFit="1" customWidth="1"/>
    <col min="15" max="15" width="13.5703125" customWidth="1"/>
    <col min="16" max="16" width="14.140625" bestFit="1" customWidth="1"/>
  </cols>
  <sheetData>
    <row r="2" spans="1:18" ht="21" x14ac:dyDescent="0.35">
      <c r="C2" s="84" t="s">
        <v>211</v>
      </c>
    </row>
    <row r="3" spans="1:18" x14ac:dyDescent="0.25">
      <c r="B3" s="2">
        <v>28000</v>
      </c>
      <c r="C3" t="s">
        <v>27</v>
      </c>
      <c r="F3" s="4">
        <f>B3*12.5</f>
        <v>350000</v>
      </c>
      <c r="G3" t="s">
        <v>29</v>
      </c>
      <c r="I3" t="s">
        <v>35</v>
      </c>
      <c r="K3" s="2">
        <f>450*375</f>
        <v>168750</v>
      </c>
    </row>
    <row r="4" spans="1:18" x14ac:dyDescent="0.25">
      <c r="B4" s="11">
        <f>B3*0.833/27</f>
        <v>863.85185185185185</v>
      </c>
      <c r="C4" t="s">
        <v>28</v>
      </c>
    </row>
    <row r="5" spans="1:18" ht="15.75" thickBot="1" x14ac:dyDescent="0.3">
      <c r="O5" t="s">
        <v>13</v>
      </c>
      <c r="P5" t="s">
        <v>189</v>
      </c>
      <c r="R5" t="s">
        <v>214</v>
      </c>
    </row>
    <row r="6" spans="1:18" x14ac:dyDescent="0.25">
      <c r="A6" s="61" t="s">
        <v>96</v>
      </c>
      <c r="B6" s="27" t="s">
        <v>32</v>
      </c>
      <c r="C6" s="60">
        <v>165</v>
      </c>
      <c r="D6" s="65"/>
      <c r="E6" s="60">
        <f>C6*B4*1.1</f>
        <v>156789.11111111112</v>
      </c>
      <c r="F6" s="27"/>
      <c r="G6" s="27"/>
      <c r="H6" s="27"/>
      <c r="I6" s="27"/>
      <c r="J6" s="27"/>
      <c r="K6" s="27"/>
      <c r="L6" s="27"/>
      <c r="M6" s="27"/>
      <c r="N6" s="36">
        <f>E6*1.25/160000</f>
        <v>1.2249149305555556</v>
      </c>
      <c r="P6" s="4"/>
    </row>
    <row r="7" spans="1:18" x14ac:dyDescent="0.25">
      <c r="A7" s="29"/>
      <c r="B7" t="s">
        <v>79</v>
      </c>
      <c r="C7" s="43">
        <v>2.5</v>
      </c>
      <c r="D7" s="66">
        <f>G25</f>
        <v>379140.22556390974</v>
      </c>
      <c r="E7" s="43">
        <f>C7*D7</f>
        <v>947850.56390977441</v>
      </c>
      <c r="N7" s="31">
        <f>E7*1.25/160000</f>
        <v>7.4050825305451129</v>
      </c>
      <c r="P7" s="4">
        <f>I39</f>
        <v>562666.50000000012</v>
      </c>
    </row>
    <row r="8" spans="1:18" x14ac:dyDescent="0.25">
      <c r="A8" s="29"/>
      <c r="B8" t="s">
        <v>33</v>
      </c>
      <c r="C8" s="43">
        <v>4</v>
      </c>
      <c r="D8" s="66"/>
      <c r="E8" s="6">
        <f>C8*160000</f>
        <v>640000</v>
      </c>
      <c r="N8" s="31">
        <f>E8*1.25/160000</f>
        <v>5</v>
      </c>
      <c r="P8" s="4">
        <f>J27</f>
        <v>664869.37640977441</v>
      </c>
    </row>
    <row r="9" spans="1:18" x14ac:dyDescent="0.25">
      <c r="A9" s="29"/>
      <c r="B9" t="s">
        <v>223</v>
      </c>
      <c r="C9" s="43">
        <v>3</v>
      </c>
      <c r="D9" s="66">
        <v>21975</v>
      </c>
      <c r="E9" s="6">
        <f>C9*D9</f>
        <v>65925</v>
      </c>
      <c r="G9">
        <v>33</v>
      </c>
      <c r="H9">
        <v>19</v>
      </c>
      <c r="I9" s="66">
        <f>G9*450</f>
        <v>14850</v>
      </c>
      <c r="J9" s="66">
        <f>H9*375</f>
        <v>7125</v>
      </c>
      <c r="K9" s="66">
        <f>SUM(I9:J9)</f>
        <v>21975</v>
      </c>
      <c r="N9" s="31">
        <f>E9*1.25/160000</f>
        <v>0.51503906249999998</v>
      </c>
      <c r="P9" s="4">
        <v>65925</v>
      </c>
    </row>
    <row r="10" spans="1:18" ht="15.75" thickBot="1" x14ac:dyDescent="0.3">
      <c r="A10" s="29"/>
      <c r="B10" t="s">
        <v>34</v>
      </c>
      <c r="C10" s="43">
        <f>490+200</f>
        <v>690</v>
      </c>
      <c r="D10" s="66">
        <v>50</v>
      </c>
      <c r="E10" s="9">
        <f>C10*D10</f>
        <v>34500</v>
      </c>
      <c r="N10" s="67">
        <f>E10*1.25/160000</f>
        <v>0.26953125</v>
      </c>
      <c r="P10" s="4">
        <f>200*50</f>
        <v>10000</v>
      </c>
    </row>
    <row r="11" spans="1:18" ht="16.5" thickTop="1" thickBot="1" x14ac:dyDescent="0.3">
      <c r="A11" s="32"/>
      <c r="B11" s="33"/>
      <c r="C11" s="33"/>
      <c r="D11" s="33"/>
      <c r="E11" s="44">
        <f>SUM(E6:E10)</f>
        <v>1845064.6750208857</v>
      </c>
      <c r="F11" s="54">
        <f>E11*1.25</f>
        <v>2306330.8437761068</v>
      </c>
      <c r="G11" s="56">
        <f>F11/B3</f>
        <v>82.368958706289533</v>
      </c>
      <c r="H11" s="33"/>
      <c r="I11" s="33"/>
      <c r="J11" s="33"/>
      <c r="K11" s="33"/>
      <c r="L11" s="33"/>
      <c r="M11" s="33"/>
      <c r="N11" s="68">
        <f>SUM(N6:N10)</f>
        <v>14.414567773600668</v>
      </c>
      <c r="O11" s="6">
        <f>F11-E11</f>
        <v>461266.16875522118</v>
      </c>
      <c r="P11" s="9">
        <f>O11*0.05</f>
        <v>23063.308437761061</v>
      </c>
    </row>
    <row r="12" spans="1:18" ht="15.75" thickBot="1" x14ac:dyDescent="0.3">
      <c r="E12" s="10"/>
      <c r="F12" s="10"/>
      <c r="G12" s="4"/>
      <c r="N12" s="6"/>
      <c r="P12" s="10">
        <f>SUM(P6:P11)</f>
        <v>1326524.1848475358</v>
      </c>
      <c r="Q12" s="94">
        <f>P12/F11</f>
        <v>0.57516647640875573</v>
      </c>
      <c r="R12" s="1">
        <v>22000</v>
      </c>
    </row>
    <row r="13" spans="1:18" x14ac:dyDescent="0.25">
      <c r="A13" s="61" t="s">
        <v>95</v>
      </c>
      <c r="B13" s="27" t="s">
        <v>32</v>
      </c>
      <c r="C13" s="60">
        <v>94.5</v>
      </c>
      <c r="D13" s="65"/>
      <c r="E13" s="60">
        <f>C13*B4*1.1</f>
        <v>89797.400000000009</v>
      </c>
      <c r="F13" s="27"/>
      <c r="G13" s="27"/>
      <c r="H13" s="27"/>
      <c r="I13" s="27"/>
      <c r="J13" s="27"/>
      <c r="K13" s="27"/>
      <c r="L13" s="27"/>
      <c r="M13" s="27"/>
      <c r="N13" s="36">
        <f>E13*1.25/160000</f>
        <v>0.70154218750000008</v>
      </c>
      <c r="P13" s="6">
        <f>'Excavation-Rock'!K61</f>
        <v>182173.94930555555</v>
      </c>
    </row>
    <row r="14" spans="1:18" x14ac:dyDescent="0.25">
      <c r="A14" s="29"/>
      <c r="B14" t="s">
        <v>79</v>
      </c>
      <c r="C14" s="43">
        <v>4</v>
      </c>
      <c r="D14" s="66">
        <v>28000</v>
      </c>
      <c r="E14" s="43">
        <f>C14*D14</f>
        <v>112000</v>
      </c>
      <c r="N14" s="31">
        <f>E14*1.25/160000</f>
        <v>0.875</v>
      </c>
      <c r="P14" s="6">
        <f>SUM(P12:P13)</f>
        <v>1508698.1341530913</v>
      </c>
    </row>
    <row r="15" spans="1:18" x14ac:dyDescent="0.25">
      <c r="A15" s="29"/>
      <c r="B15" t="s">
        <v>33</v>
      </c>
      <c r="C15" s="43">
        <v>2</v>
      </c>
      <c r="D15" s="66">
        <v>28000</v>
      </c>
      <c r="E15" s="6">
        <f>C15*D15</f>
        <v>56000</v>
      </c>
      <c r="N15" s="31">
        <f>E15*1.25/160000</f>
        <v>0.4375</v>
      </c>
    </row>
    <row r="16" spans="1:18" x14ac:dyDescent="0.25">
      <c r="A16" s="29"/>
      <c r="B16" t="s">
        <v>223</v>
      </c>
      <c r="C16" s="43">
        <v>2</v>
      </c>
      <c r="D16" s="66">
        <v>28000</v>
      </c>
      <c r="E16" s="6">
        <f>C16*D16</f>
        <v>56000</v>
      </c>
      <c r="G16">
        <v>33</v>
      </c>
      <c r="H16">
        <v>19</v>
      </c>
      <c r="I16" s="66">
        <f>G16*450</f>
        <v>14850</v>
      </c>
      <c r="J16" s="66">
        <f>H16*375</f>
        <v>7125</v>
      </c>
      <c r="K16" s="66">
        <f>SUM(I16:J16)</f>
        <v>21975</v>
      </c>
      <c r="N16" s="31">
        <f>E16*1.25/160000</f>
        <v>0.4375</v>
      </c>
    </row>
    <row r="17" spans="1:16" ht="15.75" thickBot="1" x14ac:dyDescent="0.3">
      <c r="A17" s="29"/>
      <c r="B17" t="s">
        <v>34</v>
      </c>
      <c r="C17" s="43">
        <f>490+200</f>
        <v>690</v>
      </c>
      <c r="D17" s="66">
        <v>50</v>
      </c>
      <c r="E17" s="9">
        <f>C17*D17</f>
        <v>34500</v>
      </c>
      <c r="N17" s="67">
        <f>E17*1.25/160000</f>
        <v>0.26953125</v>
      </c>
    </row>
    <row r="18" spans="1:16" ht="16.5" thickTop="1" thickBot="1" x14ac:dyDescent="0.3">
      <c r="A18" s="32"/>
      <c r="B18" s="33"/>
      <c r="C18" s="33"/>
      <c r="D18" s="33"/>
      <c r="E18" s="44">
        <f>SUM(E13:E17)</f>
        <v>348297.4</v>
      </c>
      <c r="F18" s="44">
        <f>E18*1.25</f>
        <v>435371.75</v>
      </c>
      <c r="G18" s="56" t="e">
        <f>F18/B10</f>
        <v>#VALUE!</v>
      </c>
      <c r="H18" s="33"/>
      <c r="I18" s="33"/>
      <c r="J18" s="33"/>
      <c r="K18" s="33"/>
      <c r="L18" s="33"/>
      <c r="M18" s="33"/>
      <c r="N18" s="68">
        <f>SUM(N13:N17)</f>
        <v>2.7210734375000003</v>
      </c>
      <c r="P18" s="6">
        <f>F11+'Excavation-Rock'!G60</f>
        <v>2951518.1817390695</v>
      </c>
    </row>
    <row r="19" spans="1:16" x14ac:dyDescent="0.25">
      <c r="P19" s="91">
        <f>P14/P18</f>
        <v>0.51116003400804011</v>
      </c>
    </row>
    <row r="20" spans="1:16" x14ac:dyDescent="0.25">
      <c r="A20" t="s">
        <v>73</v>
      </c>
      <c r="B20" s="2">
        <f>375/1.33</f>
        <v>281.95488721804509</v>
      </c>
      <c r="C20" s="2">
        <f>B20*375</f>
        <v>105733.0827067669</v>
      </c>
      <c r="D20" s="2">
        <v>2</v>
      </c>
      <c r="E20" s="2">
        <f>C20*D20</f>
        <v>211466.1654135338</v>
      </c>
      <c r="F20">
        <v>0.66800000000000004</v>
      </c>
      <c r="G20" s="11">
        <f>E20*F20</f>
        <v>141259.39849624058</v>
      </c>
    </row>
    <row r="21" spans="1:16" ht="15.75" thickBot="1" x14ac:dyDescent="0.3">
      <c r="A21" t="s">
        <v>81</v>
      </c>
      <c r="B21" s="2">
        <f>450/1.33</f>
        <v>338.3458646616541</v>
      </c>
      <c r="C21" s="2">
        <f>B21*450</f>
        <v>152255.63909774434</v>
      </c>
      <c r="D21" s="2">
        <v>2</v>
      </c>
      <c r="E21" s="15">
        <f>C21*D21</f>
        <v>304511.27819548867</v>
      </c>
      <c r="F21">
        <v>0.66800000000000004</v>
      </c>
      <c r="G21" s="14">
        <f>E21*F21</f>
        <v>203413.53383458644</v>
      </c>
      <c r="K21" t="s">
        <v>77</v>
      </c>
      <c r="L21" s="12">
        <f>20*20*0.833/27</f>
        <v>12.34074074074074</v>
      </c>
      <c r="M21" t="s">
        <v>78</v>
      </c>
    </row>
    <row r="22" spans="1:16" ht="15.75" thickTop="1" x14ac:dyDescent="0.25">
      <c r="B22" s="2">
        <f>1.33*310</f>
        <v>412.3</v>
      </c>
      <c r="C22" s="2"/>
      <c r="D22" s="2"/>
      <c r="E22" s="2">
        <f>SUM(E20:E21)</f>
        <v>515977.44360902248</v>
      </c>
      <c r="G22" s="11">
        <f>SUM(G20:G21)</f>
        <v>344672.932330827</v>
      </c>
      <c r="K22">
        <v>421</v>
      </c>
      <c r="L22" t="s">
        <v>82</v>
      </c>
    </row>
    <row r="23" spans="1:16" x14ac:dyDescent="0.25">
      <c r="B23" s="2"/>
      <c r="C23" s="2"/>
      <c r="D23" s="2" t="s">
        <v>51</v>
      </c>
      <c r="E23" s="2">
        <f>E22/20</f>
        <v>25798.872180451122</v>
      </c>
    </row>
    <row r="24" spans="1:16" x14ac:dyDescent="0.25">
      <c r="B24" s="2"/>
      <c r="C24" s="2"/>
      <c r="D24" s="16" t="s">
        <v>52</v>
      </c>
      <c r="E24" s="2">
        <f>E23*2</f>
        <v>51597.744360902245</v>
      </c>
    </row>
    <row r="25" spans="1:16" x14ac:dyDescent="0.25">
      <c r="B25" s="2"/>
      <c r="C25" s="2"/>
      <c r="D25" s="2" t="s">
        <v>53</v>
      </c>
      <c r="E25" s="2">
        <f>E22+E24</f>
        <v>567575.18796992477</v>
      </c>
      <c r="F25">
        <v>0.66800000000000004</v>
      </c>
      <c r="G25" s="11">
        <f>E25*F25</f>
        <v>379140.22556390974</v>
      </c>
      <c r="H25" t="s">
        <v>54</v>
      </c>
    </row>
    <row r="26" spans="1:16" x14ac:dyDescent="0.25">
      <c r="B26" s="2"/>
      <c r="C26" s="2"/>
      <c r="D26" s="2"/>
      <c r="E26" s="2"/>
      <c r="G26" s="4">
        <f>G25*G28</f>
        <v>208527.12406015038</v>
      </c>
    </row>
    <row r="27" spans="1:16" x14ac:dyDescent="0.25">
      <c r="B27" s="2">
        <f>17*20</f>
        <v>340</v>
      </c>
      <c r="C27" s="2"/>
      <c r="D27" s="2"/>
      <c r="E27" s="2"/>
      <c r="F27" s="4">
        <v>2.5</v>
      </c>
      <c r="G27" s="4">
        <f>G25*F27</f>
        <v>947850.56390977441</v>
      </c>
      <c r="J27" s="6">
        <f>G27-G34-I34</f>
        <v>664869.37640977441</v>
      </c>
    </row>
    <row r="28" spans="1:16" x14ac:dyDescent="0.25">
      <c r="E28" t="s">
        <v>69</v>
      </c>
      <c r="G28" s="4">
        <v>0.55000000000000004</v>
      </c>
      <c r="H28" t="s">
        <v>70</v>
      </c>
    </row>
    <row r="30" spans="1:16" x14ac:dyDescent="0.25">
      <c r="A30" s="8" t="s">
        <v>74</v>
      </c>
      <c r="B30" s="8">
        <v>300</v>
      </c>
      <c r="C30" s="17">
        <f>B30*375</f>
        <v>112500</v>
      </c>
      <c r="D30" s="8">
        <v>2</v>
      </c>
      <c r="E30" s="18">
        <f>C30*D30</f>
        <v>225000</v>
      </c>
      <c r="F30" s="8">
        <v>1.0429999999999999</v>
      </c>
      <c r="G30" s="18">
        <f>E30*F30</f>
        <v>234674.99999999997</v>
      </c>
      <c r="H30" s="8"/>
      <c r="I30" s="8"/>
      <c r="J30" s="8"/>
    </row>
    <row r="31" spans="1:16" ht="15.75" thickBot="1" x14ac:dyDescent="0.3">
      <c r="A31" s="8" t="s">
        <v>80</v>
      </c>
      <c r="B31" s="8">
        <v>250</v>
      </c>
      <c r="C31" s="17">
        <f>B31*375</f>
        <v>93750</v>
      </c>
      <c r="D31" s="8">
        <v>2</v>
      </c>
      <c r="E31" s="19">
        <f>C31*D31</f>
        <v>187500</v>
      </c>
      <c r="F31" s="8">
        <v>1.0429999999999999</v>
      </c>
      <c r="G31" s="19">
        <f>E31*F31</f>
        <v>195562.5</v>
      </c>
      <c r="H31" s="8"/>
      <c r="I31" s="8"/>
      <c r="J31" s="8"/>
    </row>
    <row r="32" spans="1:16" ht="15.75" thickTop="1" x14ac:dyDescent="0.25">
      <c r="A32" s="8"/>
      <c r="B32" s="8"/>
      <c r="C32" s="8"/>
      <c r="D32" s="8" t="s">
        <v>75</v>
      </c>
      <c r="E32" s="18">
        <f>SUM(E30:E31)</f>
        <v>412500</v>
      </c>
      <c r="F32" s="8"/>
      <c r="G32" s="18">
        <f>SUM(G30:G31)</f>
        <v>430237.5</v>
      </c>
      <c r="H32" s="8"/>
      <c r="I32" s="8"/>
      <c r="J32" s="8"/>
    </row>
    <row r="33" spans="1:12" x14ac:dyDescent="0.25">
      <c r="A33" s="8"/>
      <c r="B33" s="8"/>
      <c r="C33" s="8"/>
      <c r="D33" s="8" t="s">
        <v>76</v>
      </c>
      <c r="E33" s="20">
        <f>E32*1.1</f>
        <v>453750.00000000006</v>
      </c>
      <c r="F33" s="8">
        <v>1.0429999999999999</v>
      </c>
      <c r="G33" s="21">
        <f>E33*F33</f>
        <v>473261.25</v>
      </c>
      <c r="H33" s="8" t="s">
        <v>54</v>
      </c>
      <c r="I33" s="22">
        <f>E33-E32</f>
        <v>41250.000000000058</v>
      </c>
      <c r="J33" s="8" t="s">
        <v>71</v>
      </c>
    </row>
    <row r="34" spans="1:12" x14ac:dyDescent="0.25">
      <c r="A34" s="8"/>
      <c r="B34" s="8"/>
      <c r="C34" s="8"/>
      <c r="D34" s="8"/>
      <c r="E34" s="8"/>
      <c r="F34" s="8"/>
      <c r="G34" s="23">
        <f>G33*G28</f>
        <v>260293.68750000003</v>
      </c>
      <c r="H34" s="8"/>
      <c r="I34" s="23">
        <f>I33*G28</f>
        <v>22687.500000000033</v>
      </c>
      <c r="J34" s="8" t="s">
        <v>72</v>
      </c>
      <c r="K34" s="6">
        <f>G34/160000</f>
        <v>1.6268355468750002</v>
      </c>
      <c r="L34" t="s">
        <v>97</v>
      </c>
    </row>
    <row r="36" spans="1:12" x14ac:dyDescent="0.25">
      <c r="A36">
        <v>4</v>
      </c>
      <c r="B36" t="s">
        <v>83</v>
      </c>
      <c r="E36">
        <v>10</v>
      </c>
      <c r="F36" t="s">
        <v>89</v>
      </c>
      <c r="G36">
        <f>K22/E36</f>
        <v>42.1</v>
      </c>
    </row>
    <row r="37" spans="1:12" x14ac:dyDescent="0.25">
      <c r="A37">
        <v>1</v>
      </c>
      <c r="B37" t="s">
        <v>84</v>
      </c>
      <c r="E37">
        <v>5</v>
      </c>
      <c r="F37" t="s">
        <v>89</v>
      </c>
      <c r="G37">
        <f>K22/E37</f>
        <v>84.2</v>
      </c>
    </row>
    <row r="38" spans="1:12" x14ac:dyDescent="0.25">
      <c r="A38">
        <v>1</v>
      </c>
      <c r="B38" t="s">
        <v>85</v>
      </c>
      <c r="F38" t="s">
        <v>90</v>
      </c>
      <c r="G38">
        <f>SUM(G36:G37)</f>
        <v>126.30000000000001</v>
      </c>
    </row>
    <row r="39" spans="1:12" x14ac:dyDescent="0.25">
      <c r="A39">
        <v>1</v>
      </c>
      <c r="B39" t="s">
        <v>86</v>
      </c>
      <c r="F39" t="s">
        <v>91</v>
      </c>
      <c r="G39">
        <f>G38*A42</f>
        <v>1136.7</v>
      </c>
      <c r="H39" s="4">
        <v>55</v>
      </c>
      <c r="I39" s="4">
        <f>G39*9*H39</f>
        <v>562666.50000000012</v>
      </c>
      <c r="J39" s="6">
        <f>I39*1.25</f>
        <v>703333.12500000012</v>
      </c>
    </row>
    <row r="40" spans="1:12" x14ac:dyDescent="0.25">
      <c r="A40">
        <v>1</v>
      </c>
      <c r="B40" t="s">
        <v>87</v>
      </c>
      <c r="F40" t="s">
        <v>92</v>
      </c>
      <c r="G40">
        <f>G39*9</f>
        <v>10230.300000000001</v>
      </c>
      <c r="I40" s="6">
        <f>H39*G40</f>
        <v>562666.50000000012</v>
      </c>
    </row>
    <row r="41" spans="1:12" ht="15.75" thickBot="1" x14ac:dyDescent="0.3">
      <c r="A41" s="24">
        <v>1</v>
      </c>
      <c r="B41" t="s">
        <v>88</v>
      </c>
    </row>
    <row r="42" spans="1:12" ht="15.75" thickTop="1" x14ac:dyDescent="0.25">
      <c r="A42">
        <f>SUM(A36:A41)</f>
        <v>9</v>
      </c>
      <c r="J42" s="6">
        <f>J39+G34</f>
        <v>963626.81250000012</v>
      </c>
    </row>
  </sheetData>
  <pageMargins left="0.7" right="0.7" top="0.75" bottom="0.75" header="0.3" footer="0.3"/>
  <pageSetup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"/>
  <sheetViews>
    <sheetView workbookViewId="0">
      <selection activeCell="B5" sqref="B5"/>
    </sheetView>
  </sheetViews>
  <sheetFormatPr defaultRowHeight="15" x14ac:dyDescent="0.25"/>
  <cols>
    <col min="1" max="1" width="20.28515625" bestFit="1" customWidth="1"/>
    <col min="3" max="3" width="12.42578125" customWidth="1"/>
    <col min="4" max="4" width="12.42578125" bestFit="1" customWidth="1"/>
    <col min="9" max="9" width="11.42578125" bestFit="1" customWidth="1"/>
    <col min="11" max="11" width="14.28515625" bestFit="1" customWidth="1"/>
  </cols>
  <sheetData>
    <row r="2" spans="1:11" ht="21.75" thickBot="1" x14ac:dyDescent="0.4">
      <c r="B2" s="84" t="s">
        <v>211</v>
      </c>
    </row>
    <row r="3" spans="1:11" x14ac:dyDescent="0.25">
      <c r="A3" s="61"/>
      <c r="B3" s="27"/>
      <c r="C3" s="27" t="s">
        <v>36</v>
      </c>
      <c r="D3" s="27"/>
      <c r="E3" s="27"/>
      <c r="F3" s="28"/>
      <c r="I3" t="s">
        <v>190</v>
      </c>
      <c r="J3" t="s">
        <v>215</v>
      </c>
      <c r="K3" t="s">
        <v>216</v>
      </c>
    </row>
    <row r="4" spans="1:11" x14ac:dyDescent="0.25">
      <c r="A4" s="41" t="s">
        <v>55</v>
      </c>
      <c r="B4">
        <v>450</v>
      </c>
      <c r="C4" s="43">
        <v>20</v>
      </c>
      <c r="D4" s="6">
        <f>B4*C4</f>
        <v>9000</v>
      </c>
      <c r="F4" s="30"/>
      <c r="H4" s="6">
        <f>D4*0.25*0.05</f>
        <v>112.5</v>
      </c>
      <c r="I4" s="6">
        <f>D4*0.75*0.35</f>
        <v>2362.5</v>
      </c>
    </row>
    <row r="5" spans="1:11" x14ac:dyDescent="0.25">
      <c r="A5" s="41" t="s">
        <v>222</v>
      </c>
      <c r="B5">
        <f>450+375+200</f>
        <v>1025</v>
      </c>
      <c r="C5" s="43">
        <v>30</v>
      </c>
      <c r="D5" s="43">
        <f>B5*C5</f>
        <v>30750</v>
      </c>
      <c r="F5" s="30"/>
      <c r="H5" s="6">
        <f>D5*0.25*0.05</f>
        <v>384.375</v>
      </c>
      <c r="I5" s="6">
        <f>D5*0.75*0.35</f>
        <v>8071.8749999999991</v>
      </c>
    </row>
    <row r="6" spans="1:11" x14ac:dyDescent="0.25">
      <c r="A6" s="41"/>
      <c r="F6" s="30"/>
      <c r="I6" s="6"/>
    </row>
    <row r="7" spans="1:11" x14ac:dyDescent="0.25">
      <c r="A7" s="41" t="s">
        <v>37</v>
      </c>
      <c r="B7">
        <v>2</v>
      </c>
      <c r="C7" s="43">
        <v>15000</v>
      </c>
      <c r="D7" s="6">
        <f>B7*C7</f>
        <v>30000</v>
      </c>
      <c r="F7" s="30"/>
      <c r="H7" s="6">
        <f>D7*0.25*0.05</f>
        <v>375</v>
      </c>
      <c r="I7" s="6">
        <f>D7*0.75*0.35</f>
        <v>7874.9999999999991</v>
      </c>
    </row>
    <row r="8" spans="1:11" ht="15.75" thickBot="1" x14ac:dyDescent="0.3">
      <c r="A8" s="41" t="s">
        <v>63</v>
      </c>
      <c r="B8">
        <v>2</v>
      </c>
      <c r="C8" s="43">
        <v>15000</v>
      </c>
      <c r="D8" s="6">
        <f>B8*C8</f>
        <v>30000</v>
      </c>
      <c r="F8" s="30"/>
      <c r="H8" s="6">
        <f>D8*0.25*0.05</f>
        <v>375</v>
      </c>
      <c r="I8" s="9">
        <f>D8*0.75*0.35</f>
        <v>7874.9999999999991</v>
      </c>
    </row>
    <row r="9" spans="1:11" ht="15.75" thickTop="1" x14ac:dyDescent="0.25">
      <c r="A9" s="29"/>
      <c r="C9" s="43"/>
      <c r="D9" s="6"/>
      <c r="F9" s="30"/>
      <c r="I9" s="10">
        <f>SUM(I4:I8)</f>
        <v>26184.375</v>
      </c>
      <c r="J9" s="94">
        <f>I9/D10</f>
        <v>0.26250000000000001</v>
      </c>
      <c r="K9" s="12">
        <f>I9/55</f>
        <v>476.07954545454544</v>
      </c>
    </row>
    <row r="10" spans="1:11" ht="15.75" thickBot="1" x14ac:dyDescent="0.3">
      <c r="A10" s="32"/>
      <c r="B10" s="33"/>
      <c r="C10" s="33" t="s">
        <v>45</v>
      </c>
      <c r="D10" s="44">
        <f>SUM(D4:D8)</f>
        <v>99750</v>
      </c>
      <c r="E10" s="33"/>
      <c r="F10" s="37"/>
    </row>
    <row r="11" spans="1:11" x14ac:dyDescent="0.25">
      <c r="A11" t="s">
        <v>107</v>
      </c>
    </row>
  </sheetData>
  <pageMargins left="0.7" right="0.7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1"/>
  <sheetViews>
    <sheetView workbookViewId="0">
      <selection activeCell="E14" sqref="E14"/>
    </sheetView>
  </sheetViews>
  <sheetFormatPr defaultRowHeight="15" x14ac:dyDescent="0.25"/>
  <cols>
    <col min="2" max="2" width="11.28515625" bestFit="1" customWidth="1"/>
    <col min="4" max="4" width="11" customWidth="1"/>
    <col min="5" max="5" width="11.42578125" bestFit="1" customWidth="1"/>
    <col min="10" max="10" width="11.28515625" customWidth="1"/>
    <col min="11" max="11" width="10.42578125" bestFit="1" customWidth="1"/>
    <col min="13" max="13" width="14.28515625" bestFit="1" customWidth="1"/>
  </cols>
  <sheetData>
    <row r="2" spans="1:13" ht="21.75" thickBot="1" x14ac:dyDescent="0.4">
      <c r="C2" s="84" t="s">
        <v>211</v>
      </c>
    </row>
    <row r="3" spans="1:13" x14ac:dyDescent="0.25">
      <c r="A3" s="26" t="s">
        <v>58</v>
      </c>
      <c r="B3" s="27"/>
      <c r="C3" s="27"/>
      <c r="D3" s="27"/>
      <c r="E3" s="27"/>
      <c r="F3" s="27"/>
      <c r="G3" s="28"/>
      <c r="K3" t="s">
        <v>190</v>
      </c>
      <c r="L3" t="s">
        <v>215</v>
      </c>
      <c r="M3" t="s">
        <v>216</v>
      </c>
    </row>
    <row r="4" spans="1:13" ht="15.75" thickBot="1" x14ac:dyDescent="0.3">
      <c r="A4" s="29"/>
      <c r="B4" t="s">
        <v>56</v>
      </c>
      <c r="C4">
        <v>3500</v>
      </c>
      <c r="D4" s="43">
        <v>1.5</v>
      </c>
      <c r="E4" s="9">
        <f>C4*D4</f>
        <v>5250</v>
      </c>
      <c r="G4" s="30"/>
    </row>
    <row r="5" spans="1:13" ht="15.75" thickTop="1" x14ac:dyDescent="0.25">
      <c r="A5" s="29"/>
      <c r="E5" s="10">
        <f>SUM(E4)</f>
        <v>5250</v>
      </c>
      <c r="G5" s="30"/>
      <c r="I5" s="6">
        <f>E5*0.25*0.05</f>
        <v>65.625</v>
      </c>
      <c r="J5" s="6">
        <f>E5*0.75*0.35</f>
        <v>1378.125</v>
      </c>
      <c r="K5" s="6">
        <f>SUM(I5:J5)</f>
        <v>1443.75</v>
      </c>
    </row>
    <row r="6" spans="1:13" x14ac:dyDescent="0.25">
      <c r="A6" s="41" t="s">
        <v>59</v>
      </c>
      <c r="G6" s="30"/>
      <c r="I6" s="6"/>
      <c r="J6" s="6"/>
      <c r="K6" s="6"/>
    </row>
    <row r="7" spans="1:13" x14ac:dyDescent="0.25">
      <c r="A7" s="29"/>
      <c r="B7" t="s">
        <v>60</v>
      </c>
      <c r="C7">
        <v>2</v>
      </c>
      <c r="D7" s="43">
        <v>5000</v>
      </c>
      <c r="E7" s="6">
        <f>C7*D7</f>
        <v>10000</v>
      </c>
      <c r="G7" s="30"/>
      <c r="I7" s="6">
        <f>E7*0.25*0.05</f>
        <v>125</v>
      </c>
      <c r="J7" s="6">
        <f>E7*0.75*0.35</f>
        <v>2625</v>
      </c>
      <c r="K7" s="6">
        <f>SUM(I7:J7)</f>
        <v>2750</v>
      </c>
    </row>
    <row r="8" spans="1:13" ht="15.75" thickBot="1" x14ac:dyDescent="0.3">
      <c r="A8" s="29"/>
      <c r="B8" t="s">
        <v>61</v>
      </c>
      <c r="C8">
        <v>20</v>
      </c>
      <c r="D8" s="43">
        <v>200</v>
      </c>
      <c r="E8" s="9">
        <f>C8*D8</f>
        <v>4000</v>
      </c>
      <c r="G8" s="30"/>
      <c r="I8" s="6">
        <f>E8*0.25*0.05</f>
        <v>50</v>
      </c>
      <c r="J8" s="6">
        <f>E8*0.75*0.35</f>
        <v>1050</v>
      </c>
      <c r="K8" s="9">
        <f>SUM(I8:J8)</f>
        <v>1100</v>
      </c>
    </row>
    <row r="9" spans="1:13" ht="16.5" thickTop="1" thickBot="1" x14ac:dyDescent="0.3">
      <c r="A9" s="32"/>
      <c r="B9" s="33"/>
      <c r="C9" s="33"/>
      <c r="D9" s="33"/>
      <c r="E9" s="44">
        <f>SUM(E7:E8)</f>
        <v>14000</v>
      </c>
      <c r="F9" s="33"/>
      <c r="G9" s="37"/>
      <c r="K9" s="6">
        <f>SUM(K5:K8)</f>
        <v>5293.75</v>
      </c>
    </row>
    <row r="11" spans="1:13" x14ac:dyDescent="0.25">
      <c r="D11" t="s">
        <v>50</v>
      </c>
      <c r="E11" s="10">
        <f>E9+E5</f>
        <v>19250</v>
      </c>
      <c r="I11" s="6">
        <f>E11*0.25*0.05</f>
        <v>240.625</v>
      </c>
      <c r="K11" s="10">
        <f>K9+I11</f>
        <v>5534.375</v>
      </c>
      <c r="L11" s="94">
        <f>K11/E11</f>
        <v>0.28749999999999998</v>
      </c>
      <c r="M11" s="102">
        <f>K11/55</f>
        <v>100.625</v>
      </c>
    </row>
  </sheetData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53"/>
  <sheetViews>
    <sheetView topLeftCell="A34" zoomScaleNormal="100" workbookViewId="0">
      <selection activeCell="L21" sqref="L21"/>
    </sheetView>
  </sheetViews>
  <sheetFormatPr defaultRowHeight="15" x14ac:dyDescent="0.25"/>
  <cols>
    <col min="1" max="1" width="22.7109375" bestFit="1" customWidth="1"/>
    <col min="2" max="2" width="11.140625" bestFit="1" customWidth="1"/>
    <col min="3" max="3" width="12.7109375" customWidth="1"/>
    <col min="4" max="4" width="13.5703125" customWidth="1"/>
    <col min="5" max="5" width="11.5703125" customWidth="1"/>
    <col min="6" max="6" width="12.42578125" bestFit="1" customWidth="1"/>
    <col min="7" max="7" width="14.140625" bestFit="1" customWidth="1"/>
    <col min="9" max="9" width="12.42578125" bestFit="1" customWidth="1"/>
    <col min="10" max="10" width="10.140625" bestFit="1" customWidth="1"/>
  </cols>
  <sheetData>
    <row r="2" spans="1:10" ht="21.75" thickBot="1" x14ac:dyDescent="0.4">
      <c r="B2" s="84" t="s">
        <v>220</v>
      </c>
      <c r="F2" s="3"/>
    </row>
    <row r="3" spans="1:10" x14ac:dyDescent="0.25">
      <c r="A3" s="26" t="s">
        <v>105</v>
      </c>
      <c r="B3" s="27"/>
      <c r="C3" s="27"/>
      <c r="D3" s="73"/>
      <c r="E3" s="27"/>
      <c r="F3" s="76"/>
      <c r="G3" s="69">
        <v>0</v>
      </c>
      <c r="I3" t="s">
        <v>189</v>
      </c>
      <c r="J3" t="s">
        <v>212</v>
      </c>
    </row>
    <row r="4" spans="1:10" ht="15.75" thickBot="1" x14ac:dyDescent="0.3">
      <c r="A4" s="83" t="s">
        <v>115</v>
      </c>
      <c r="B4" s="33"/>
      <c r="C4" s="33"/>
      <c r="D4" s="77"/>
      <c r="E4" s="33"/>
      <c r="F4" s="77"/>
      <c r="G4" s="78">
        <v>800000</v>
      </c>
      <c r="I4" s="6">
        <f>G4*0.75*0.35</f>
        <v>210000</v>
      </c>
      <c r="J4" s="102">
        <f>I4/55</f>
        <v>3818.181818181818</v>
      </c>
    </row>
    <row r="5" spans="1:10" ht="15.75" thickBot="1" x14ac:dyDescent="0.3">
      <c r="D5" s="3"/>
      <c r="F5" s="3"/>
    </row>
    <row r="6" spans="1:10" x14ac:dyDescent="0.25">
      <c r="A6" s="26" t="s">
        <v>9</v>
      </c>
      <c r="B6" s="74">
        <v>1250</v>
      </c>
      <c r="C6" s="27">
        <v>44</v>
      </c>
      <c r="D6" s="73">
        <v>2</v>
      </c>
      <c r="E6" s="35">
        <f>B6*C6*D6/27*1.4</f>
        <v>5703.7037037037035</v>
      </c>
      <c r="F6" s="73"/>
      <c r="G6" s="28"/>
    </row>
    <row r="7" spans="1:10" x14ac:dyDescent="0.25">
      <c r="A7" s="29"/>
      <c r="B7" t="s">
        <v>68</v>
      </c>
      <c r="C7" s="75">
        <v>50000</v>
      </c>
      <c r="D7" s="3">
        <v>1</v>
      </c>
      <c r="F7" s="75">
        <f>C7*D7</f>
        <v>50000</v>
      </c>
      <c r="G7" s="30"/>
      <c r="H7">
        <v>1</v>
      </c>
      <c r="I7" s="92">
        <f>F7*0.335</f>
        <v>16750</v>
      </c>
    </row>
    <row r="8" spans="1:10" x14ac:dyDescent="0.25">
      <c r="A8" s="29"/>
      <c r="B8" t="s">
        <v>10</v>
      </c>
      <c r="C8" s="75">
        <v>140</v>
      </c>
      <c r="D8">
        <v>1</v>
      </c>
      <c r="E8" s="3">
        <f>10*10</f>
        <v>100</v>
      </c>
      <c r="F8" s="75">
        <f>C8*D8*E8</f>
        <v>14000</v>
      </c>
      <c r="G8" s="30"/>
      <c r="H8">
        <v>1</v>
      </c>
      <c r="I8" s="6">
        <f>F8*0.35</f>
        <v>4900</v>
      </c>
    </row>
    <row r="9" spans="1:10" x14ac:dyDescent="0.25">
      <c r="A9" s="29"/>
      <c r="B9" t="s">
        <v>11</v>
      </c>
      <c r="C9" s="75">
        <v>120</v>
      </c>
      <c r="D9">
        <v>2</v>
      </c>
      <c r="E9" s="3">
        <f>10*10</f>
        <v>100</v>
      </c>
      <c r="F9" s="75">
        <f>C9*D9*E9</f>
        <v>24000</v>
      </c>
      <c r="G9" s="30"/>
      <c r="H9">
        <v>2</v>
      </c>
      <c r="I9" s="6">
        <f>F9*0.35</f>
        <v>8400</v>
      </c>
    </row>
    <row r="10" spans="1:10" x14ac:dyDescent="0.25">
      <c r="A10" s="29"/>
      <c r="B10" t="s">
        <v>12</v>
      </c>
      <c r="C10" s="75">
        <v>80</v>
      </c>
      <c r="D10">
        <v>6</v>
      </c>
      <c r="E10" s="3">
        <f>10*10</f>
        <v>100</v>
      </c>
      <c r="F10" s="75">
        <f>C10*D10*E10</f>
        <v>48000</v>
      </c>
      <c r="G10" s="30"/>
      <c r="H10">
        <v>6</v>
      </c>
      <c r="I10" s="6">
        <f>F10*0.3</f>
        <v>14400</v>
      </c>
    </row>
    <row r="11" spans="1:10" x14ac:dyDescent="0.25">
      <c r="A11" s="29"/>
      <c r="B11" t="s">
        <v>13</v>
      </c>
      <c r="C11" s="75">
        <v>45</v>
      </c>
      <c r="D11">
        <v>1</v>
      </c>
      <c r="E11" s="3">
        <f>10*10</f>
        <v>100</v>
      </c>
      <c r="F11" s="75">
        <f>C11*D11*E11</f>
        <v>4500</v>
      </c>
      <c r="G11" s="30"/>
      <c r="H11">
        <v>1</v>
      </c>
      <c r="I11" s="6">
        <f>F11</f>
        <v>4500</v>
      </c>
    </row>
    <row r="12" spans="1:10" ht="15.75" thickBot="1" x14ac:dyDescent="0.3">
      <c r="A12" s="29"/>
      <c r="B12" t="s">
        <v>4</v>
      </c>
      <c r="C12" s="75">
        <v>55</v>
      </c>
      <c r="D12">
        <v>1.2</v>
      </c>
      <c r="E12" s="3">
        <f>10*10</f>
        <v>100</v>
      </c>
      <c r="F12" s="75">
        <f>C12*D12*E12</f>
        <v>6600</v>
      </c>
      <c r="G12" s="30"/>
      <c r="H12">
        <v>1</v>
      </c>
      <c r="I12" s="9">
        <f>F12</f>
        <v>6600</v>
      </c>
    </row>
    <row r="13" spans="1:10" ht="16.5" thickTop="1" thickBot="1" x14ac:dyDescent="0.3">
      <c r="A13" s="32"/>
      <c r="B13" s="33"/>
      <c r="C13" s="33"/>
      <c r="D13" s="33"/>
      <c r="E13" s="33"/>
      <c r="F13" s="70">
        <f>SUM(F7:F12)</f>
        <v>147100</v>
      </c>
      <c r="G13" s="34">
        <f>F13*1.25</f>
        <v>183875</v>
      </c>
      <c r="I13" s="99">
        <f>SUM(I7:I12)</f>
        <v>55550</v>
      </c>
      <c r="J13" s="100">
        <v>1100</v>
      </c>
    </row>
    <row r="14" spans="1:10" ht="15.75" thickBot="1" x14ac:dyDescent="0.3">
      <c r="F14" s="13"/>
      <c r="G14" s="10"/>
    </row>
    <row r="15" spans="1:10" ht="15.75" thickBot="1" x14ac:dyDescent="0.3">
      <c r="A15" s="38" t="s">
        <v>221</v>
      </c>
      <c r="B15" s="39">
        <v>1250</v>
      </c>
      <c r="C15" s="57">
        <v>0.25</v>
      </c>
      <c r="D15" s="39">
        <v>42</v>
      </c>
      <c r="E15" s="39"/>
      <c r="F15" s="58">
        <f>B15*C15*D15</f>
        <v>13125</v>
      </c>
      <c r="G15" s="40">
        <f>F15*1.25</f>
        <v>16406.25</v>
      </c>
      <c r="I15" s="10">
        <f>G15*0.75*0.35</f>
        <v>4306.640625</v>
      </c>
      <c r="J15" s="102">
        <f>I15/55</f>
        <v>78.302556818181813</v>
      </c>
    </row>
    <row r="16" spans="1:10" ht="15.75" thickBot="1" x14ac:dyDescent="0.3"/>
    <row r="17" spans="1:11" x14ac:dyDescent="0.25">
      <c r="A17" s="26" t="s">
        <v>19</v>
      </c>
      <c r="B17" s="73">
        <v>1250</v>
      </c>
      <c r="C17" s="63">
        <v>42</v>
      </c>
      <c r="D17" s="27">
        <v>1.33</v>
      </c>
      <c r="E17" s="62">
        <f>B17*C17*D17/27*1.8</f>
        <v>4655.0000000000009</v>
      </c>
      <c r="F17" s="27"/>
      <c r="G17" s="28"/>
    </row>
    <row r="18" spans="1:11" x14ac:dyDescent="0.25">
      <c r="A18" s="29"/>
      <c r="B18" t="s">
        <v>15</v>
      </c>
      <c r="C18" s="43">
        <v>130</v>
      </c>
      <c r="D18">
        <v>1</v>
      </c>
      <c r="E18">
        <f>6*10</f>
        <v>60</v>
      </c>
      <c r="F18" s="6">
        <f>C18*D18*E18</f>
        <v>7800</v>
      </c>
      <c r="G18" s="30"/>
      <c r="H18">
        <v>1</v>
      </c>
      <c r="I18" s="6">
        <f>F18*0.35</f>
        <v>2730</v>
      </c>
    </row>
    <row r="19" spans="1:11" x14ac:dyDescent="0.25">
      <c r="A19" s="29"/>
      <c r="B19" t="s">
        <v>16</v>
      </c>
      <c r="C19" s="43">
        <v>90</v>
      </c>
      <c r="D19">
        <v>1</v>
      </c>
      <c r="E19">
        <f>6*10</f>
        <v>60</v>
      </c>
      <c r="F19" s="6">
        <f>C19*D19*E19</f>
        <v>5400</v>
      </c>
      <c r="G19" s="30"/>
      <c r="H19">
        <v>1</v>
      </c>
      <c r="I19" s="6">
        <f>F19*0.35</f>
        <v>1889.9999999999998</v>
      </c>
    </row>
    <row r="20" spans="1:11" x14ac:dyDescent="0.25">
      <c r="A20" s="29"/>
      <c r="B20" t="s">
        <v>12</v>
      </c>
      <c r="C20" s="82">
        <v>115</v>
      </c>
      <c r="D20">
        <v>1</v>
      </c>
      <c r="E20">
        <f>137*2</f>
        <v>274</v>
      </c>
      <c r="F20" s="6">
        <f t="shared" ref="F20:F25" si="0">C20*D20*E20</f>
        <v>31510</v>
      </c>
      <c r="G20" s="30"/>
      <c r="H20">
        <v>5</v>
      </c>
      <c r="I20" s="6">
        <f>F20*0.35</f>
        <v>11028.5</v>
      </c>
    </row>
    <row r="21" spans="1:11" x14ac:dyDescent="0.25">
      <c r="A21" s="29"/>
      <c r="B21" t="s">
        <v>13</v>
      </c>
      <c r="C21" s="43">
        <v>45</v>
      </c>
      <c r="D21">
        <v>3</v>
      </c>
      <c r="E21">
        <f>6*10</f>
        <v>60</v>
      </c>
      <c r="F21" s="6">
        <f t="shared" si="0"/>
        <v>8100</v>
      </c>
      <c r="G21" s="30"/>
      <c r="H21">
        <v>1</v>
      </c>
      <c r="I21" s="6">
        <f>F21</f>
        <v>8100</v>
      </c>
    </row>
    <row r="22" spans="1:11" x14ac:dyDescent="0.25">
      <c r="A22" s="29"/>
      <c r="B22" t="s">
        <v>4</v>
      </c>
      <c r="C22" s="43">
        <v>55</v>
      </c>
      <c r="D22">
        <v>1.2</v>
      </c>
      <c r="E22">
        <f>6*10</f>
        <v>60</v>
      </c>
      <c r="F22" s="6">
        <f t="shared" si="0"/>
        <v>3960</v>
      </c>
      <c r="G22" s="30"/>
      <c r="H22">
        <v>1</v>
      </c>
      <c r="I22" s="6">
        <f>F22</f>
        <v>3960</v>
      </c>
    </row>
    <row r="23" spans="1:11" x14ac:dyDescent="0.25">
      <c r="A23" s="29"/>
      <c r="B23" t="s">
        <v>62</v>
      </c>
      <c r="C23" s="43">
        <v>1.5</v>
      </c>
      <c r="D23" s="11">
        <f>B17*C17/9</f>
        <v>5833.333333333333</v>
      </c>
      <c r="E23">
        <v>1</v>
      </c>
      <c r="F23" s="6">
        <f t="shared" si="0"/>
        <v>8750</v>
      </c>
      <c r="G23" s="30"/>
      <c r="H23">
        <v>1</v>
      </c>
      <c r="I23" s="6">
        <f>F23*0.3</f>
        <v>2625</v>
      </c>
    </row>
    <row r="24" spans="1:11" x14ac:dyDescent="0.25">
      <c r="A24" s="29"/>
      <c r="B24" t="s">
        <v>18</v>
      </c>
      <c r="C24" s="43">
        <v>16</v>
      </c>
      <c r="D24">
        <v>4655</v>
      </c>
      <c r="E24">
        <v>1</v>
      </c>
      <c r="F24" s="6">
        <f t="shared" si="0"/>
        <v>74480</v>
      </c>
      <c r="G24" s="30"/>
      <c r="I24" s="6">
        <f>F24*0.25*0.05</f>
        <v>931</v>
      </c>
    </row>
    <row r="25" spans="1:11" ht="15.75" thickBot="1" x14ac:dyDescent="0.3">
      <c r="A25" s="29"/>
      <c r="B25" t="s">
        <v>17</v>
      </c>
      <c r="C25" s="43">
        <v>90</v>
      </c>
      <c r="D25">
        <v>1</v>
      </c>
      <c r="E25">
        <f>6*10</f>
        <v>60</v>
      </c>
      <c r="F25" s="6">
        <f t="shared" si="0"/>
        <v>5400</v>
      </c>
      <c r="G25" s="30"/>
      <c r="H25">
        <v>1</v>
      </c>
      <c r="I25" s="9">
        <f>F25*0.3</f>
        <v>1620</v>
      </c>
    </row>
    <row r="26" spans="1:11" ht="16.5" thickTop="1" thickBot="1" x14ac:dyDescent="0.3">
      <c r="A26" s="32"/>
      <c r="B26" s="33"/>
      <c r="C26" s="33"/>
      <c r="D26" s="33"/>
      <c r="E26" s="33"/>
      <c r="F26" s="44">
        <f>SUM(F18:F25)</f>
        <v>145400</v>
      </c>
      <c r="G26" s="34">
        <f>F26*1.25</f>
        <v>181750</v>
      </c>
      <c r="I26" s="10">
        <f>SUM(I18:I25)</f>
        <v>32884.5</v>
      </c>
      <c r="J26" s="100">
        <f>120+274+180+60+60+60</f>
        <v>754</v>
      </c>
      <c r="K26" s="6"/>
    </row>
    <row r="27" spans="1:11" ht="15.75" thickBot="1" x14ac:dyDescent="0.3">
      <c r="F27" s="10"/>
      <c r="G27" s="10"/>
    </row>
    <row r="28" spans="1:11" x14ac:dyDescent="0.25">
      <c r="A28" s="26" t="s">
        <v>20</v>
      </c>
      <c r="B28" s="73">
        <v>1250</v>
      </c>
      <c r="C28" s="63">
        <v>42</v>
      </c>
      <c r="D28" s="73">
        <f>B28*C28</f>
        <v>52500</v>
      </c>
      <c r="E28" s="62">
        <f>D28*0.2</f>
        <v>10500</v>
      </c>
      <c r="F28" s="27"/>
      <c r="G28" s="28"/>
    </row>
    <row r="29" spans="1:11" x14ac:dyDescent="0.25">
      <c r="A29" s="29"/>
      <c r="B29" t="s">
        <v>15</v>
      </c>
      <c r="C29" s="43">
        <v>130</v>
      </c>
      <c r="D29">
        <v>1</v>
      </c>
      <c r="E29">
        <f>6*10</f>
        <v>60</v>
      </c>
      <c r="F29" s="6">
        <f>C29*D29*E29</f>
        <v>7800</v>
      </c>
      <c r="G29" s="30"/>
      <c r="I29" s="6">
        <f>F29*0.35</f>
        <v>2730</v>
      </c>
    </row>
    <row r="30" spans="1:11" x14ac:dyDescent="0.25">
      <c r="A30" s="29"/>
      <c r="B30" t="s">
        <v>16</v>
      </c>
      <c r="C30" s="43">
        <v>90</v>
      </c>
      <c r="D30">
        <v>1</v>
      </c>
      <c r="E30">
        <f>6*10</f>
        <v>60</v>
      </c>
      <c r="F30" s="6">
        <f>C30*D30*E30</f>
        <v>5400</v>
      </c>
      <c r="G30" s="30"/>
      <c r="I30" s="92">
        <f>F30*0.35</f>
        <v>1889.9999999999998</v>
      </c>
    </row>
    <row r="31" spans="1:11" x14ac:dyDescent="0.25">
      <c r="A31" s="29"/>
      <c r="B31" t="s">
        <v>13</v>
      </c>
      <c r="C31" s="43">
        <v>45</v>
      </c>
      <c r="D31">
        <v>3</v>
      </c>
      <c r="E31">
        <f>6*10</f>
        <v>60</v>
      </c>
      <c r="F31" s="6">
        <f>C31*D31*E31</f>
        <v>8100</v>
      </c>
      <c r="G31" s="30"/>
      <c r="I31" s="6">
        <f>F31</f>
        <v>8100</v>
      </c>
    </row>
    <row r="32" spans="1:11" x14ac:dyDescent="0.25">
      <c r="A32" s="29"/>
      <c r="B32" t="s">
        <v>4</v>
      </c>
      <c r="C32" s="43">
        <v>55</v>
      </c>
      <c r="D32">
        <v>1.2</v>
      </c>
      <c r="E32">
        <f>6*10</f>
        <v>60</v>
      </c>
      <c r="F32" s="6">
        <f>C32*D32*E32</f>
        <v>3960</v>
      </c>
      <c r="G32" s="30"/>
      <c r="I32" s="6">
        <f>F32</f>
        <v>3960</v>
      </c>
    </row>
    <row r="33" spans="1:10" ht="15.75" thickBot="1" x14ac:dyDescent="0.3">
      <c r="A33" s="29"/>
      <c r="B33" t="s">
        <v>17</v>
      </c>
      <c r="C33" s="43">
        <v>90</v>
      </c>
      <c r="D33">
        <v>1</v>
      </c>
      <c r="E33">
        <f>6*10</f>
        <v>60</v>
      </c>
      <c r="F33" s="6">
        <f>C33*D33*E33</f>
        <v>5400</v>
      </c>
      <c r="G33" s="30"/>
      <c r="I33" s="9">
        <f>F33*0.3</f>
        <v>1620</v>
      </c>
    </row>
    <row r="34" spans="1:10" ht="16.5" thickTop="1" thickBot="1" x14ac:dyDescent="0.3">
      <c r="A34" s="32"/>
      <c r="B34" s="33"/>
      <c r="C34" s="33"/>
      <c r="D34" s="33"/>
      <c r="E34" s="33"/>
      <c r="F34" s="44">
        <f>SUM(F29:F33)</f>
        <v>30660</v>
      </c>
      <c r="G34" s="34">
        <f>F34*1.25</f>
        <v>38325</v>
      </c>
      <c r="I34" s="10">
        <f>SUM(I29:I33)</f>
        <v>18300</v>
      </c>
      <c r="J34" s="100">
        <f>60+60+180+60+72</f>
        <v>432</v>
      </c>
    </row>
    <row r="35" spans="1:10" ht="15.75" thickBot="1" x14ac:dyDescent="0.3">
      <c r="F35" s="10"/>
      <c r="G35" s="10"/>
    </row>
    <row r="36" spans="1:10" x14ac:dyDescent="0.25">
      <c r="A36" s="26" t="s">
        <v>98</v>
      </c>
      <c r="B36" s="27">
        <v>930</v>
      </c>
      <c r="C36" s="60">
        <v>5.5</v>
      </c>
      <c r="D36" s="27"/>
      <c r="E36" s="27">
        <v>4</v>
      </c>
      <c r="F36" s="71">
        <f>B36*C36*E36</f>
        <v>20460</v>
      </c>
      <c r="G36" s="69">
        <f>F36*1.25</f>
        <v>25575</v>
      </c>
      <c r="I36" s="6">
        <f>G36*0.75*0.35</f>
        <v>6713.4375</v>
      </c>
    </row>
    <row r="37" spans="1:10" x14ac:dyDescent="0.25">
      <c r="A37" s="41" t="s">
        <v>100</v>
      </c>
      <c r="B37">
        <v>160</v>
      </c>
      <c r="C37" s="43">
        <v>8</v>
      </c>
      <c r="E37">
        <v>6</v>
      </c>
      <c r="F37" s="10">
        <f>B37*C37*E37</f>
        <v>7680</v>
      </c>
      <c r="G37" s="72">
        <f>F37*1.25</f>
        <v>9600</v>
      </c>
      <c r="I37" s="6">
        <f>G37*0.75*0.35</f>
        <v>2520</v>
      </c>
    </row>
    <row r="38" spans="1:10" ht="15.75" thickBot="1" x14ac:dyDescent="0.3">
      <c r="A38" s="83" t="s">
        <v>110</v>
      </c>
      <c r="B38" s="33">
        <v>1090</v>
      </c>
      <c r="C38" s="56">
        <v>30</v>
      </c>
      <c r="D38" s="33">
        <v>130</v>
      </c>
      <c r="E38" s="33"/>
      <c r="F38" s="44">
        <f>D38*C38</f>
        <v>3900</v>
      </c>
      <c r="G38" s="34">
        <f>F38*1.25</f>
        <v>4875</v>
      </c>
      <c r="I38" s="9">
        <f>G38*0.75*0.35</f>
        <v>1279.6875</v>
      </c>
    </row>
    <row r="39" spans="1:10" ht="15.75" thickBot="1" x14ac:dyDescent="0.3">
      <c r="F39" s="10"/>
      <c r="G39" s="10"/>
      <c r="I39" s="10">
        <f>SUM(I36:I38)</f>
        <v>10513.125</v>
      </c>
      <c r="J39" s="102">
        <f>I39/55</f>
        <v>191.14772727272728</v>
      </c>
    </row>
    <row r="40" spans="1:10" x14ac:dyDescent="0.25">
      <c r="A40" s="26" t="s">
        <v>99</v>
      </c>
      <c r="B40" s="27">
        <v>2400</v>
      </c>
      <c r="C40" s="60">
        <v>25</v>
      </c>
      <c r="D40" s="27"/>
      <c r="E40" s="27">
        <v>1</v>
      </c>
      <c r="F40" s="71">
        <f>B40*C40*E40</f>
        <v>60000</v>
      </c>
      <c r="G40" s="69">
        <f t="shared" ref="G40:G46" si="1">F40*1.25</f>
        <v>75000</v>
      </c>
      <c r="I40" s="6">
        <f>G40*0.75*0.35</f>
        <v>19687.5</v>
      </c>
    </row>
    <row r="41" spans="1:10" x14ac:dyDescent="0.25">
      <c r="A41" s="41" t="s">
        <v>102</v>
      </c>
      <c r="B41" s="5" t="s">
        <v>65</v>
      </c>
      <c r="C41" s="43"/>
      <c r="F41" s="10">
        <v>7500</v>
      </c>
      <c r="G41" s="72">
        <f t="shared" si="1"/>
        <v>9375</v>
      </c>
      <c r="I41" s="6">
        <f t="shared" ref="I41:I46" si="2">G41*0.75*0.35</f>
        <v>2460.9375</v>
      </c>
    </row>
    <row r="42" spans="1:10" ht="15.75" thickBot="1" x14ac:dyDescent="0.3">
      <c r="A42" s="83" t="s">
        <v>101</v>
      </c>
      <c r="B42" s="93" t="s">
        <v>65</v>
      </c>
      <c r="C42" s="33"/>
      <c r="D42" s="33"/>
      <c r="E42" s="33"/>
      <c r="F42" s="70">
        <v>5000</v>
      </c>
      <c r="G42" s="34">
        <f t="shared" si="1"/>
        <v>6250</v>
      </c>
      <c r="I42" s="9">
        <f t="shared" si="2"/>
        <v>1640.625</v>
      </c>
    </row>
    <row r="43" spans="1:10" ht="15.75" thickBot="1" x14ac:dyDescent="0.3">
      <c r="F43" s="1"/>
      <c r="G43" s="10"/>
      <c r="I43" s="10">
        <f>SUM(I40:I42)</f>
        <v>23789.0625</v>
      </c>
      <c r="J43" s="102">
        <f>I43/55</f>
        <v>432.52840909090907</v>
      </c>
    </row>
    <row r="44" spans="1:10" x14ac:dyDescent="0.25">
      <c r="A44" s="26" t="s">
        <v>21</v>
      </c>
      <c r="B44" s="27">
        <v>3</v>
      </c>
      <c r="C44" s="60">
        <v>1600</v>
      </c>
      <c r="D44" s="27"/>
      <c r="E44" s="27"/>
      <c r="F44" s="71">
        <f>B44*C44</f>
        <v>4800</v>
      </c>
      <c r="G44" s="69">
        <f t="shared" si="1"/>
        <v>6000</v>
      </c>
      <c r="I44" s="6">
        <f t="shared" si="2"/>
        <v>1575</v>
      </c>
    </row>
    <row r="45" spans="1:10" ht="13.9" customHeight="1" x14ac:dyDescent="0.25">
      <c r="A45" s="41" t="s">
        <v>104</v>
      </c>
      <c r="B45">
        <v>6</v>
      </c>
      <c r="C45" s="43">
        <v>1200</v>
      </c>
      <c r="F45" s="10">
        <f>B45*C45</f>
        <v>7200</v>
      </c>
      <c r="G45" s="72">
        <f t="shared" si="1"/>
        <v>9000</v>
      </c>
      <c r="I45" s="6">
        <f t="shared" si="2"/>
        <v>2362.5</v>
      </c>
    </row>
    <row r="46" spans="1:10" ht="13.9" customHeight="1" thickBot="1" x14ac:dyDescent="0.3">
      <c r="A46" s="83" t="s">
        <v>103</v>
      </c>
      <c r="B46" s="33">
        <v>6</v>
      </c>
      <c r="C46" s="56">
        <v>250</v>
      </c>
      <c r="D46" s="33"/>
      <c r="E46" s="33"/>
      <c r="F46" s="44">
        <f>B46*C46</f>
        <v>1500</v>
      </c>
      <c r="G46" s="34">
        <f t="shared" si="1"/>
        <v>1875</v>
      </c>
      <c r="I46" s="9">
        <f t="shared" si="2"/>
        <v>492.18749999999994</v>
      </c>
    </row>
    <row r="47" spans="1:10" ht="13.9" customHeight="1" thickBot="1" x14ac:dyDescent="0.3">
      <c r="C47" s="4"/>
      <c r="F47" s="10"/>
      <c r="G47" s="10"/>
      <c r="I47" s="10">
        <f>SUM(I44:I46)</f>
        <v>4429.6875</v>
      </c>
      <c r="J47" s="102">
        <f>I47/55</f>
        <v>80.539772727272734</v>
      </c>
    </row>
    <row r="48" spans="1:10" x14ac:dyDescent="0.25">
      <c r="A48" s="26" t="s">
        <v>109</v>
      </c>
      <c r="B48" s="27">
        <v>1250</v>
      </c>
      <c r="C48" s="27">
        <v>38</v>
      </c>
      <c r="D48" s="27">
        <v>6</v>
      </c>
      <c r="E48" s="35">
        <f>B48*C48*D48*0.0062</f>
        <v>1767</v>
      </c>
      <c r="F48" s="55"/>
      <c r="G48" s="69"/>
      <c r="I48" s="6"/>
    </row>
    <row r="49" spans="1:10" ht="15.75" thickBot="1" x14ac:dyDescent="0.3">
      <c r="A49" s="32"/>
      <c r="B49" s="33">
        <f>B48*60</f>
        <v>75000</v>
      </c>
      <c r="C49" s="33"/>
      <c r="D49" s="33"/>
      <c r="E49" s="33"/>
      <c r="F49" s="70">
        <f>E48*110</f>
        <v>194370</v>
      </c>
      <c r="G49" s="34">
        <f>F49*1.25</f>
        <v>242962.5</v>
      </c>
      <c r="I49" s="6">
        <f>(F49-B49)*0.35</f>
        <v>41779.5</v>
      </c>
      <c r="J49" s="102">
        <f>I49/55</f>
        <v>759.62727272727273</v>
      </c>
    </row>
    <row r="50" spans="1:10" ht="15.75" thickBot="1" x14ac:dyDescent="0.3">
      <c r="F50" s="1" t="s">
        <v>45</v>
      </c>
      <c r="G50" s="10">
        <f>SUM(G3:G49)</f>
        <v>1610868.75</v>
      </c>
      <c r="I50" s="7">
        <f>SUM(I3:I49)</f>
        <v>547018.890625</v>
      </c>
      <c r="J50" s="91"/>
    </row>
    <row r="51" spans="1:10" ht="15.75" thickTop="1" x14ac:dyDescent="0.25">
      <c r="F51" s="86" t="s">
        <v>120</v>
      </c>
      <c r="G51" s="6">
        <f>G50*0.12</f>
        <v>193304.25</v>
      </c>
      <c r="I51" s="10">
        <f>SUM(I49:I50)</f>
        <v>588798.390625</v>
      </c>
      <c r="J51" s="1">
        <v>1546</v>
      </c>
    </row>
    <row r="52" spans="1:10" x14ac:dyDescent="0.25">
      <c r="F52" s="86" t="s">
        <v>117</v>
      </c>
      <c r="G52" s="96">
        <f>G50*0.05</f>
        <v>80543.4375</v>
      </c>
    </row>
    <row r="53" spans="1:10" x14ac:dyDescent="0.25">
      <c r="E53" s="8"/>
      <c r="F53" s="87" t="s">
        <v>121</v>
      </c>
      <c r="G53" s="88">
        <f>SUM(G50:G52)</f>
        <v>1884716.4375</v>
      </c>
      <c r="J53" s="100">
        <f>SUM(J4:J51)</f>
        <v>9192.3275568181816</v>
      </c>
    </row>
  </sheetData>
  <pageMargins left="0.7" right="0.7" top="0.75" bottom="0.75" header="0.3" footer="0.3"/>
  <pageSetup scale="9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51"/>
  <sheetViews>
    <sheetView topLeftCell="A91" zoomScaleNormal="100" workbookViewId="0">
      <selection activeCell="F112" sqref="F112"/>
    </sheetView>
  </sheetViews>
  <sheetFormatPr defaultRowHeight="15" x14ac:dyDescent="0.25"/>
  <cols>
    <col min="1" max="1" width="20" customWidth="1"/>
    <col min="9" max="9" width="14.5703125" customWidth="1"/>
    <col min="10" max="10" width="15.140625" customWidth="1"/>
    <col min="11" max="11" width="14.140625" bestFit="1" customWidth="1"/>
    <col min="13" max="13" width="12.42578125" bestFit="1" customWidth="1"/>
    <col min="14" max="14" width="10.85546875" bestFit="1" customWidth="1"/>
  </cols>
  <sheetData>
    <row r="1" spans="1:14" ht="21" x14ac:dyDescent="0.35">
      <c r="C1" s="84" t="s">
        <v>217</v>
      </c>
    </row>
    <row r="2" spans="1:14" ht="15" customHeight="1" x14ac:dyDescent="0.35">
      <c r="C2" s="84"/>
      <c r="M2" t="s">
        <v>189</v>
      </c>
      <c r="N2" t="s">
        <v>212</v>
      </c>
    </row>
    <row r="3" spans="1:14" x14ac:dyDescent="0.25">
      <c r="A3" t="s">
        <v>124</v>
      </c>
      <c r="J3" s="4">
        <v>88650.49</v>
      </c>
      <c r="K3" s="10">
        <f>J3*1.25</f>
        <v>110813.1125</v>
      </c>
    </row>
    <row r="4" spans="1:14" ht="15" customHeight="1" x14ac:dyDescent="0.25">
      <c r="B4" t="s">
        <v>125</v>
      </c>
      <c r="J4" s="4">
        <v>29836</v>
      </c>
      <c r="K4" s="10">
        <f>J4*1.25</f>
        <v>37295</v>
      </c>
    </row>
    <row r="5" spans="1:14" x14ac:dyDescent="0.25">
      <c r="B5" t="s">
        <v>126</v>
      </c>
      <c r="J5" s="4" t="s">
        <v>127</v>
      </c>
      <c r="K5" s="1"/>
    </row>
    <row r="6" spans="1:14" x14ac:dyDescent="0.25">
      <c r="B6" t="s">
        <v>128</v>
      </c>
      <c r="J6" s="4">
        <v>5708.55</v>
      </c>
      <c r="K6" s="10">
        <f>J6*1.25</f>
        <v>7135.6875</v>
      </c>
    </row>
    <row r="7" spans="1:14" x14ac:dyDescent="0.25">
      <c r="B7" t="s">
        <v>129</v>
      </c>
      <c r="J7" t="s">
        <v>127</v>
      </c>
      <c r="K7" s="1"/>
    </row>
    <row r="8" spans="1:14" x14ac:dyDescent="0.25">
      <c r="B8" t="s">
        <v>130</v>
      </c>
    </row>
    <row r="10" spans="1:14" x14ac:dyDescent="0.25">
      <c r="A10" t="s">
        <v>131</v>
      </c>
    </row>
    <row r="11" spans="1:14" x14ac:dyDescent="0.25">
      <c r="C11" t="s">
        <v>132</v>
      </c>
      <c r="G11">
        <v>1</v>
      </c>
      <c r="H11">
        <v>24</v>
      </c>
      <c r="I11" s="4">
        <v>125</v>
      </c>
      <c r="J11" s="4">
        <f>G11*H11*I11</f>
        <v>3000</v>
      </c>
      <c r="M11" s="6">
        <f>J11*0.35</f>
        <v>1050</v>
      </c>
    </row>
    <row r="12" spans="1:14" x14ac:dyDescent="0.25">
      <c r="C12" t="s">
        <v>13</v>
      </c>
      <c r="G12">
        <v>2</v>
      </c>
      <c r="H12">
        <v>24</v>
      </c>
      <c r="I12" s="4">
        <v>55</v>
      </c>
      <c r="J12" s="4">
        <f>G12*H12*I12</f>
        <v>2640</v>
      </c>
      <c r="M12" s="6">
        <f>J12</f>
        <v>2640</v>
      </c>
    </row>
    <row r="13" spans="1:14" ht="15.75" thickBot="1" x14ac:dyDescent="0.3">
      <c r="C13" t="s">
        <v>4</v>
      </c>
      <c r="G13">
        <v>1</v>
      </c>
      <c r="H13">
        <v>24</v>
      </c>
      <c r="I13" s="4">
        <v>65</v>
      </c>
      <c r="J13" s="7">
        <f>G13*H13*I13</f>
        <v>1560</v>
      </c>
      <c r="M13" s="9">
        <f>J13</f>
        <v>1560</v>
      </c>
    </row>
    <row r="14" spans="1:14" ht="15.75" thickTop="1" x14ac:dyDescent="0.25">
      <c r="J14" s="6">
        <f>SUM(J11:J13)</f>
        <v>7200</v>
      </c>
      <c r="K14" s="10">
        <f>J14*1.25</f>
        <v>9000</v>
      </c>
      <c r="M14" s="10">
        <f>SUM(M11:M13)</f>
        <v>5250</v>
      </c>
      <c r="N14">
        <f>SUM(H11:H13)</f>
        <v>72</v>
      </c>
    </row>
    <row r="16" spans="1:14" x14ac:dyDescent="0.25">
      <c r="A16" t="s">
        <v>133</v>
      </c>
    </row>
    <row r="17" spans="1:14" x14ac:dyDescent="0.25">
      <c r="C17" t="s">
        <v>134</v>
      </c>
      <c r="G17">
        <v>1</v>
      </c>
      <c r="H17">
        <v>24</v>
      </c>
      <c r="I17" s="4">
        <v>125</v>
      </c>
      <c r="J17" s="4">
        <f>G17*H17*I17</f>
        <v>3000</v>
      </c>
      <c r="M17" s="6">
        <f>J17*0.35</f>
        <v>1050</v>
      </c>
    </row>
    <row r="18" spans="1:14" x14ac:dyDescent="0.25">
      <c r="C18" t="s">
        <v>13</v>
      </c>
      <c r="G18">
        <v>2</v>
      </c>
      <c r="H18">
        <v>24</v>
      </c>
      <c r="I18" s="4">
        <v>55</v>
      </c>
      <c r="J18" s="4">
        <f>G18*H18*I18</f>
        <v>2640</v>
      </c>
      <c r="M18" s="6">
        <f>J18</f>
        <v>2640</v>
      </c>
    </row>
    <row r="19" spans="1:14" ht="15.75" thickBot="1" x14ac:dyDescent="0.3">
      <c r="C19" t="s">
        <v>4</v>
      </c>
      <c r="G19">
        <v>1</v>
      </c>
      <c r="H19">
        <v>24</v>
      </c>
      <c r="I19" s="4">
        <v>65</v>
      </c>
      <c r="J19" s="7">
        <f>G19*H19*I19</f>
        <v>1560</v>
      </c>
      <c r="M19" s="9">
        <f>J19</f>
        <v>1560</v>
      </c>
    </row>
    <row r="20" spans="1:14" ht="15.75" thickTop="1" x14ac:dyDescent="0.25">
      <c r="J20" s="6">
        <f>SUM(J17:J19)</f>
        <v>7200</v>
      </c>
      <c r="K20" s="10">
        <f>J20*1.25</f>
        <v>9000</v>
      </c>
      <c r="M20" s="6">
        <f>SUM(M17:M19)</f>
        <v>5250</v>
      </c>
      <c r="N20">
        <f>SUM(H17:H19)</f>
        <v>72</v>
      </c>
    </row>
    <row r="22" spans="1:14" x14ac:dyDescent="0.25">
      <c r="A22" t="s">
        <v>135</v>
      </c>
    </row>
    <row r="23" spans="1:14" x14ac:dyDescent="0.25">
      <c r="A23" t="s">
        <v>136</v>
      </c>
      <c r="C23" t="s">
        <v>1</v>
      </c>
      <c r="G23">
        <v>1</v>
      </c>
      <c r="H23">
        <v>24</v>
      </c>
      <c r="I23" s="4">
        <v>125</v>
      </c>
      <c r="J23" s="4">
        <f>G23*H23*I23</f>
        <v>3000</v>
      </c>
      <c r="M23" s="6">
        <f>J23*0.35</f>
        <v>1050</v>
      </c>
    </row>
    <row r="24" spans="1:14" x14ac:dyDescent="0.25">
      <c r="C24" t="s">
        <v>137</v>
      </c>
      <c r="G24">
        <v>1</v>
      </c>
      <c r="H24">
        <v>24</v>
      </c>
      <c r="I24" s="4">
        <v>90</v>
      </c>
      <c r="J24" s="4">
        <f>G24*H24*I24</f>
        <v>2160</v>
      </c>
      <c r="M24" s="6">
        <f>J24*0.35</f>
        <v>756</v>
      </c>
    </row>
    <row r="25" spans="1:14" x14ac:dyDescent="0.25">
      <c r="C25" t="s">
        <v>13</v>
      </c>
      <c r="G25">
        <v>2</v>
      </c>
      <c r="H25">
        <v>24</v>
      </c>
      <c r="I25" s="4">
        <v>55</v>
      </c>
      <c r="J25" s="4">
        <f t="shared" ref="J25:J30" si="0">G25*H25*I25</f>
        <v>2640</v>
      </c>
      <c r="M25" s="6">
        <f>J25</f>
        <v>2640</v>
      </c>
    </row>
    <row r="26" spans="1:14" x14ac:dyDescent="0.25">
      <c r="C26" t="s">
        <v>138</v>
      </c>
      <c r="G26">
        <v>1</v>
      </c>
      <c r="H26">
        <v>24</v>
      </c>
      <c r="I26" s="4">
        <v>90</v>
      </c>
      <c r="J26" s="4">
        <f t="shared" si="0"/>
        <v>2160</v>
      </c>
      <c r="M26" s="6">
        <f>J26*0.3</f>
        <v>648</v>
      </c>
    </row>
    <row r="27" spans="1:14" x14ac:dyDescent="0.25">
      <c r="C27" t="s">
        <v>139</v>
      </c>
      <c r="G27">
        <v>2</v>
      </c>
      <c r="H27">
        <v>24</v>
      </c>
      <c r="I27" s="4">
        <v>10</v>
      </c>
      <c r="J27" s="4">
        <f t="shared" si="0"/>
        <v>480</v>
      </c>
    </row>
    <row r="28" spans="1:14" x14ac:dyDescent="0.25">
      <c r="C28" t="s">
        <v>140</v>
      </c>
      <c r="G28">
        <v>136</v>
      </c>
      <c r="H28">
        <v>1</v>
      </c>
      <c r="I28" s="4">
        <v>15</v>
      </c>
      <c r="J28" s="4">
        <f t="shared" si="0"/>
        <v>2040</v>
      </c>
      <c r="M28" s="6">
        <f>J28*0.35</f>
        <v>714</v>
      </c>
    </row>
    <row r="29" spans="1:14" x14ac:dyDescent="0.25">
      <c r="C29" t="s">
        <v>12</v>
      </c>
      <c r="G29">
        <v>1</v>
      </c>
      <c r="H29">
        <v>12</v>
      </c>
      <c r="I29" s="4">
        <v>115</v>
      </c>
      <c r="J29" s="4">
        <f>G29*H29*I29</f>
        <v>1380</v>
      </c>
      <c r="M29" s="6">
        <f>J29*0.3</f>
        <v>414</v>
      </c>
    </row>
    <row r="30" spans="1:14" ht="15.75" thickBot="1" x14ac:dyDescent="0.3">
      <c r="C30" t="s">
        <v>4</v>
      </c>
      <c r="G30">
        <v>1</v>
      </c>
      <c r="H30">
        <v>24</v>
      </c>
      <c r="I30" s="4">
        <v>65</v>
      </c>
      <c r="J30" s="7">
        <f t="shared" si="0"/>
        <v>1560</v>
      </c>
      <c r="M30" s="9">
        <f>J30</f>
        <v>1560</v>
      </c>
    </row>
    <row r="31" spans="1:14" ht="15.75" thickTop="1" x14ac:dyDescent="0.25">
      <c r="J31" s="6">
        <f>SUM(J23:J30)</f>
        <v>15420</v>
      </c>
      <c r="K31" s="10">
        <f>J31*1.25</f>
        <v>19275</v>
      </c>
      <c r="M31" s="6">
        <f>SUM(M23:M30)</f>
        <v>7782</v>
      </c>
      <c r="N31" s="1">
        <f>SUM(H23:H30)-24</f>
        <v>133</v>
      </c>
    </row>
    <row r="33" spans="1:14" x14ac:dyDescent="0.25">
      <c r="A33" t="s">
        <v>141</v>
      </c>
    </row>
    <row r="34" spans="1:14" x14ac:dyDescent="0.25">
      <c r="A34" t="s">
        <v>142</v>
      </c>
      <c r="C34" t="s">
        <v>143</v>
      </c>
      <c r="G34">
        <v>1</v>
      </c>
      <c r="H34">
        <v>1</v>
      </c>
      <c r="I34" s="4">
        <v>5000</v>
      </c>
      <c r="J34" s="4">
        <f>G34*H34*I34</f>
        <v>5000</v>
      </c>
    </row>
    <row r="35" spans="1:14" x14ac:dyDescent="0.25">
      <c r="A35">
        <v>60</v>
      </c>
      <c r="C35" t="s">
        <v>144</v>
      </c>
      <c r="G35">
        <v>1</v>
      </c>
      <c r="H35">
        <v>65</v>
      </c>
      <c r="I35" s="4">
        <v>15</v>
      </c>
      <c r="J35" s="4">
        <f>G35*H35*I35</f>
        <v>975</v>
      </c>
    </row>
    <row r="36" spans="1:14" x14ac:dyDescent="0.25">
      <c r="A36">
        <v>30</v>
      </c>
      <c r="C36" t="s">
        <v>145</v>
      </c>
      <c r="G36">
        <v>1</v>
      </c>
      <c r="H36">
        <v>400</v>
      </c>
      <c r="I36" s="4">
        <v>10</v>
      </c>
      <c r="J36" s="4">
        <f t="shared" ref="J36:J42" si="1">G36*H36*I36</f>
        <v>4000</v>
      </c>
    </row>
    <row r="37" spans="1:14" x14ac:dyDescent="0.25">
      <c r="A37" t="s">
        <v>146</v>
      </c>
      <c r="B37" t="s">
        <v>147</v>
      </c>
      <c r="C37" t="s">
        <v>46</v>
      </c>
      <c r="G37">
        <v>1</v>
      </c>
      <c r="H37">
        <v>5563</v>
      </c>
      <c r="I37" s="4">
        <v>0.55000000000000004</v>
      </c>
      <c r="J37" s="4">
        <f t="shared" si="1"/>
        <v>3059.65</v>
      </c>
    </row>
    <row r="38" spans="1:14" x14ac:dyDescent="0.25">
      <c r="C38" t="s">
        <v>13</v>
      </c>
      <c r="G38">
        <v>4</v>
      </c>
      <c r="H38">
        <v>80</v>
      </c>
      <c r="I38" s="4">
        <v>55</v>
      </c>
      <c r="J38" s="4">
        <f t="shared" si="1"/>
        <v>17600</v>
      </c>
      <c r="M38" s="6">
        <f>J38</f>
        <v>17600</v>
      </c>
    </row>
    <row r="39" spans="1:14" x14ac:dyDescent="0.25">
      <c r="C39" t="s">
        <v>148</v>
      </c>
      <c r="G39">
        <v>1</v>
      </c>
      <c r="H39">
        <v>80</v>
      </c>
      <c r="I39" s="4">
        <v>125</v>
      </c>
      <c r="J39" s="4">
        <f t="shared" si="1"/>
        <v>10000</v>
      </c>
      <c r="M39" s="6">
        <f>J39*0.35</f>
        <v>3500</v>
      </c>
    </row>
    <row r="40" spans="1:14" x14ac:dyDescent="0.25">
      <c r="C40" t="s">
        <v>139</v>
      </c>
      <c r="G40">
        <v>2</v>
      </c>
      <c r="H40">
        <v>80</v>
      </c>
      <c r="I40" s="4">
        <v>10</v>
      </c>
      <c r="J40" s="4">
        <f t="shared" si="1"/>
        <v>1600</v>
      </c>
    </row>
    <row r="41" spans="1:14" x14ac:dyDescent="0.25">
      <c r="C41" t="s">
        <v>149</v>
      </c>
      <c r="G41">
        <v>1</v>
      </c>
      <c r="H41">
        <v>90</v>
      </c>
      <c r="I41" s="4">
        <v>175</v>
      </c>
      <c r="J41" s="4">
        <f t="shared" si="1"/>
        <v>15750</v>
      </c>
    </row>
    <row r="42" spans="1:14" ht="15.75" thickBot="1" x14ac:dyDescent="0.3">
      <c r="C42" t="s">
        <v>4</v>
      </c>
      <c r="G42">
        <v>1</v>
      </c>
      <c r="H42">
        <f>H38*1.2</f>
        <v>96</v>
      </c>
      <c r="I42" s="4">
        <v>65</v>
      </c>
      <c r="J42" s="7">
        <f t="shared" si="1"/>
        <v>6240</v>
      </c>
      <c r="M42" s="9">
        <f>J42</f>
        <v>6240</v>
      </c>
    </row>
    <row r="43" spans="1:14" ht="15.75" thickTop="1" x14ac:dyDescent="0.25">
      <c r="J43" s="6">
        <f>SUM(J34:J42)</f>
        <v>64224.65</v>
      </c>
      <c r="K43" s="10">
        <f>J43*1.25</f>
        <v>80280.8125</v>
      </c>
      <c r="M43" s="13">
        <f>SUM(M34:M42)</f>
        <v>27340</v>
      </c>
      <c r="N43" s="1">
        <f>320+80+96</f>
        <v>496</v>
      </c>
    </row>
    <row r="45" spans="1:14" x14ac:dyDescent="0.25">
      <c r="A45" t="s">
        <v>150</v>
      </c>
    </row>
    <row r="46" spans="1:14" x14ac:dyDescent="0.25">
      <c r="C46" t="s">
        <v>143</v>
      </c>
      <c r="G46">
        <v>1</v>
      </c>
      <c r="H46">
        <v>1</v>
      </c>
      <c r="I46" s="4">
        <v>2500</v>
      </c>
      <c r="J46" s="4">
        <f>G46*H46*I46</f>
        <v>2500</v>
      </c>
    </row>
    <row r="47" spans="1:14" x14ac:dyDescent="0.25">
      <c r="C47" t="s">
        <v>144</v>
      </c>
      <c r="G47">
        <v>1</v>
      </c>
      <c r="H47">
        <v>8</v>
      </c>
      <c r="I47" s="4">
        <v>15</v>
      </c>
      <c r="J47" s="4">
        <f>G47*H47*I47</f>
        <v>120</v>
      </c>
    </row>
    <row r="48" spans="1:14" x14ac:dyDescent="0.25">
      <c r="C48" t="s">
        <v>145</v>
      </c>
      <c r="G48">
        <v>1</v>
      </c>
      <c r="H48">
        <v>100</v>
      </c>
      <c r="I48" s="4">
        <v>10</v>
      </c>
      <c r="J48" s="4">
        <f t="shared" ref="J48:J54" si="2">G48*H48*I48</f>
        <v>1000</v>
      </c>
    </row>
    <row r="49" spans="1:14" x14ac:dyDescent="0.25">
      <c r="A49" t="s">
        <v>151</v>
      </c>
      <c r="C49" t="s">
        <v>46</v>
      </c>
      <c r="G49">
        <v>1</v>
      </c>
      <c r="H49">
        <v>7000</v>
      </c>
      <c r="I49" s="4">
        <v>0.55000000000000004</v>
      </c>
      <c r="J49" s="4">
        <f t="shared" si="2"/>
        <v>3850.0000000000005</v>
      </c>
    </row>
    <row r="50" spans="1:14" x14ac:dyDescent="0.25">
      <c r="C50" t="s">
        <v>13</v>
      </c>
      <c r="G50">
        <v>4</v>
      </c>
      <c r="H50">
        <v>80</v>
      </c>
      <c r="I50" s="4">
        <v>55</v>
      </c>
      <c r="J50" s="4">
        <f t="shared" si="2"/>
        <v>17600</v>
      </c>
      <c r="M50" s="6">
        <f>J50</f>
        <v>17600</v>
      </c>
    </row>
    <row r="51" spans="1:14" x14ac:dyDescent="0.25">
      <c r="C51" t="s">
        <v>148</v>
      </c>
      <c r="G51">
        <v>1</v>
      </c>
      <c r="H51">
        <v>80</v>
      </c>
      <c r="I51" s="4">
        <v>125</v>
      </c>
      <c r="J51" s="4">
        <f t="shared" si="2"/>
        <v>10000</v>
      </c>
      <c r="M51" s="6">
        <f>J51*0.35</f>
        <v>3500</v>
      </c>
    </row>
    <row r="52" spans="1:14" x14ac:dyDescent="0.25">
      <c r="C52" t="s">
        <v>139</v>
      </c>
      <c r="G52">
        <v>2</v>
      </c>
      <c r="H52">
        <v>80</v>
      </c>
      <c r="I52" s="4">
        <v>10</v>
      </c>
      <c r="J52" s="4">
        <f t="shared" si="2"/>
        <v>1600</v>
      </c>
    </row>
    <row r="53" spans="1:14" x14ac:dyDescent="0.25">
      <c r="C53" t="s">
        <v>149</v>
      </c>
      <c r="D53">
        <v>28</v>
      </c>
      <c r="E53">
        <v>15</v>
      </c>
      <c r="F53">
        <v>17</v>
      </c>
      <c r="G53">
        <v>1</v>
      </c>
      <c r="H53">
        <f>28+15+17+10+6</f>
        <v>76</v>
      </c>
      <c r="I53" s="4">
        <v>175</v>
      </c>
      <c r="J53" s="4">
        <f t="shared" si="2"/>
        <v>13300</v>
      </c>
    </row>
    <row r="54" spans="1:14" ht="15.75" thickBot="1" x14ac:dyDescent="0.3">
      <c r="C54" t="s">
        <v>4</v>
      </c>
      <c r="G54">
        <v>1</v>
      </c>
      <c r="H54">
        <f>H50*1.2</f>
        <v>96</v>
      </c>
      <c r="I54" s="4">
        <v>65</v>
      </c>
      <c r="J54" s="7">
        <f t="shared" si="2"/>
        <v>6240</v>
      </c>
      <c r="M54" s="9">
        <f>J54</f>
        <v>6240</v>
      </c>
    </row>
    <row r="55" spans="1:14" ht="15.75" thickTop="1" x14ac:dyDescent="0.25">
      <c r="J55" s="6">
        <f>SUM(J46:J54)</f>
        <v>56210</v>
      </c>
      <c r="K55" s="10">
        <f>J55*1.25</f>
        <v>70262.5</v>
      </c>
      <c r="M55" s="13">
        <f>SUM(M46:M54)</f>
        <v>27340</v>
      </c>
      <c r="N55" s="1">
        <f>320+80+96</f>
        <v>496</v>
      </c>
    </row>
    <row r="56" spans="1:14" x14ac:dyDescent="0.25">
      <c r="A56" t="s">
        <v>152</v>
      </c>
    </row>
    <row r="57" spans="1:14" x14ac:dyDescent="0.25">
      <c r="C57" t="s">
        <v>143</v>
      </c>
      <c r="G57">
        <v>1</v>
      </c>
      <c r="H57">
        <v>0</v>
      </c>
      <c r="I57" s="4">
        <v>0</v>
      </c>
      <c r="J57" s="4">
        <f>G57*H57*I57</f>
        <v>0</v>
      </c>
    </row>
    <row r="58" spans="1:14" x14ac:dyDescent="0.25">
      <c r="C58" t="s">
        <v>139</v>
      </c>
      <c r="G58">
        <v>2</v>
      </c>
      <c r="H58">
        <v>40</v>
      </c>
      <c r="I58" s="4">
        <v>10</v>
      </c>
      <c r="J58" s="4">
        <f>G58*H58*I58</f>
        <v>800</v>
      </c>
    </row>
    <row r="59" spans="1:14" x14ac:dyDescent="0.25">
      <c r="C59" t="s">
        <v>153</v>
      </c>
      <c r="G59">
        <v>1</v>
      </c>
      <c r="H59">
        <v>40</v>
      </c>
      <c r="I59" s="4">
        <v>85</v>
      </c>
      <c r="J59" s="4">
        <f t="shared" ref="J59:J65" si="3">G59*H59*I59</f>
        <v>3400</v>
      </c>
      <c r="M59" s="6">
        <f>J59*0.35</f>
        <v>1190</v>
      </c>
    </row>
    <row r="60" spans="1:14" x14ac:dyDescent="0.25">
      <c r="C60" t="s">
        <v>1</v>
      </c>
      <c r="G60">
        <v>1</v>
      </c>
      <c r="H60">
        <v>40</v>
      </c>
      <c r="I60" s="4">
        <v>125</v>
      </c>
      <c r="J60" s="4">
        <f t="shared" si="3"/>
        <v>5000</v>
      </c>
      <c r="M60" s="6">
        <f>J60*0.35</f>
        <v>1750</v>
      </c>
    </row>
    <row r="61" spans="1:14" x14ac:dyDescent="0.25">
      <c r="C61" t="s">
        <v>154</v>
      </c>
      <c r="G61" s="98">
        <v>4</v>
      </c>
      <c r="H61">
        <v>40</v>
      </c>
      <c r="I61" s="4">
        <v>110</v>
      </c>
      <c r="J61" s="4">
        <f t="shared" si="3"/>
        <v>17600</v>
      </c>
      <c r="M61" s="6">
        <f>J61*0.35</f>
        <v>6160</v>
      </c>
    </row>
    <row r="62" spans="1:14" x14ac:dyDescent="0.25">
      <c r="C62" t="s">
        <v>13</v>
      </c>
      <c r="G62">
        <v>1</v>
      </c>
      <c r="H62">
        <v>40</v>
      </c>
      <c r="I62" s="4">
        <v>55</v>
      </c>
      <c r="J62" s="4">
        <f t="shared" si="3"/>
        <v>2200</v>
      </c>
      <c r="M62" s="6">
        <f>J62</f>
        <v>2200</v>
      </c>
    </row>
    <row r="63" spans="1:14" x14ac:dyDescent="0.25">
      <c r="C63" t="s">
        <v>155</v>
      </c>
      <c r="G63">
        <v>1</v>
      </c>
      <c r="H63">
        <v>825</v>
      </c>
      <c r="I63" s="4">
        <v>15</v>
      </c>
      <c r="J63" s="4">
        <f t="shared" si="3"/>
        <v>12375</v>
      </c>
      <c r="M63" s="6">
        <f>J63*0.35</f>
        <v>4331.25</v>
      </c>
    </row>
    <row r="64" spans="1:14" x14ac:dyDescent="0.25">
      <c r="C64" t="s">
        <v>12</v>
      </c>
      <c r="G64">
        <v>1</v>
      </c>
      <c r="H64">
        <v>50</v>
      </c>
      <c r="I64" s="4">
        <v>115</v>
      </c>
      <c r="J64" s="4">
        <f t="shared" si="3"/>
        <v>5750</v>
      </c>
      <c r="M64" s="6">
        <f>J64*0.3</f>
        <v>1725</v>
      </c>
    </row>
    <row r="65" spans="1:14" ht="15.75" thickBot="1" x14ac:dyDescent="0.3">
      <c r="C65" t="s">
        <v>4</v>
      </c>
      <c r="G65">
        <v>1</v>
      </c>
      <c r="H65">
        <f>H61*1.2</f>
        <v>48</v>
      </c>
      <c r="I65" s="4">
        <v>65</v>
      </c>
      <c r="J65" s="7">
        <f t="shared" si="3"/>
        <v>3120</v>
      </c>
      <c r="M65" s="9">
        <f>J65</f>
        <v>3120</v>
      </c>
    </row>
    <row r="66" spans="1:14" ht="15.75" thickTop="1" x14ac:dyDescent="0.25">
      <c r="J66" s="6">
        <f>SUM(J57:J65)</f>
        <v>50245</v>
      </c>
      <c r="K66" s="10">
        <f>J66*1.25</f>
        <v>62806.25</v>
      </c>
      <c r="M66" s="13">
        <f>SUM(M57:M65)</f>
        <v>20476.25</v>
      </c>
      <c r="N66" s="104">
        <f>40+40+40+50+48</f>
        <v>218</v>
      </c>
    </row>
    <row r="68" spans="1:14" x14ac:dyDescent="0.25">
      <c r="A68" t="s">
        <v>156</v>
      </c>
    </row>
    <row r="69" spans="1:14" x14ac:dyDescent="0.25">
      <c r="C69" t="s">
        <v>143</v>
      </c>
      <c r="G69">
        <v>1</v>
      </c>
      <c r="H69">
        <v>1</v>
      </c>
      <c r="I69" s="4">
        <v>2500</v>
      </c>
      <c r="J69" s="4">
        <f>G69*H69*I69</f>
        <v>2500</v>
      </c>
    </row>
    <row r="70" spans="1:14" x14ac:dyDescent="0.25">
      <c r="C70" t="s">
        <v>144</v>
      </c>
      <c r="G70">
        <v>1</v>
      </c>
      <c r="H70">
        <v>128</v>
      </c>
      <c r="I70" s="4">
        <v>25</v>
      </c>
      <c r="J70" s="4">
        <f>G70*H70*I70</f>
        <v>3200</v>
      </c>
    </row>
    <row r="71" spans="1:14" x14ac:dyDescent="0.25">
      <c r="C71" t="s">
        <v>157</v>
      </c>
      <c r="G71">
        <v>1</v>
      </c>
      <c r="H71">
        <v>350</v>
      </c>
      <c r="I71" s="4">
        <v>20</v>
      </c>
      <c r="J71" s="4">
        <f t="shared" ref="J71:J77" si="4">G71*H71*I71</f>
        <v>7000</v>
      </c>
    </row>
    <row r="72" spans="1:14" x14ac:dyDescent="0.25">
      <c r="C72" t="s">
        <v>46</v>
      </c>
      <c r="G72">
        <v>1</v>
      </c>
      <c r="H72">
        <v>25000</v>
      </c>
      <c r="I72" s="4">
        <v>0.55000000000000004</v>
      </c>
      <c r="J72" s="4">
        <f t="shared" si="4"/>
        <v>13750.000000000002</v>
      </c>
    </row>
    <row r="73" spans="1:14" x14ac:dyDescent="0.25">
      <c r="C73" t="s">
        <v>13</v>
      </c>
      <c r="G73">
        <v>4</v>
      </c>
      <c r="H73">
        <v>80</v>
      </c>
      <c r="I73" s="4">
        <v>55</v>
      </c>
      <c r="J73" s="4">
        <f t="shared" si="4"/>
        <v>17600</v>
      </c>
      <c r="M73" s="6">
        <f>J73</f>
        <v>17600</v>
      </c>
    </row>
    <row r="74" spans="1:14" x14ac:dyDescent="0.25">
      <c r="C74" t="s">
        <v>148</v>
      </c>
      <c r="G74">
        <v>1</v>
      </c>
      <c r="H74">
        <v>80</v>
      </c>
      <c r="I74" s="4">
        <v>125</v>
      </c>
      <c r="J74" s="4">
        <f t="shared" si="4"/>
        <v>10000</v>
      </c>
      <c r="M74" s="6">
        <f>J74*0.35</f>
        <v>3500</v>
      </c>
    </row>
    <row r="75" spans="1:14" x14ac:dyDescent="0.25">
      <c r="C75" t="s">
        <v>139</v>
      </c>
      <c r="G75">
        <v>2</v>
      </c>
      <c r="H75">
        <v>80</v>
      </c>
      <c r="I75" s="4">
        <v>10</v>
      </c>
      <c r="J75" s="4">
        <f t="shared" si="4"/>
        <v>1600</v>
      </c>
    </row>
    <row r="76" spans="1:14" x14ac:dyDescent="0.25">
      <c r="A76" t="s">
        <v>158</v>
      </c>
      <c r="C76" t="s">
        <v>149</v>
      </c>
      <c r="G76">
        <v>1</v>
      </c>
      <c r="H76">
        <v>280</v>
      </c>
      <c r="I76" s="4">
        <v>175</v>
      </c>
      <c r="J76" s="4">
        <f t="shared" si="4"/>
        <v>49000</v>
      </c>
    </row>
    <row r="77" spans="1:14" ht="15.75" thickBot="1" x14ac:dyDescent="0.3">
      <c r="C77" t="s">
        <v>4</v>
      </c>
      <c r="G77">
        <v>1</v>
      </c>
      <c r="H77">
        <f>H73*1.2</f>
        <v>96</v>
      </c>
      <c r="I77" s="4">
        <v>65</v>
      </c>
      <c r="J77" s="7">
        <f t="shared" si="4"/>
        <v>6240</v>
      </c>
      <c r="M77" s="9">
        <f>J77</f>
        <v>6240</v>
      </c>
    </row>
    <row r="78" spans="1:14" ht="15.75" thickTop="1" x14ac:dyDescent="0.25">
      <c r="J78" s="6">
        <f>SUM(J69:J77)</f>
        <v>110890</v>
      </c>
      <c r="K78" s="10">
        <f>J78*1.25</f>
        <v>138612.5</v>
      </c>
      <c r="M78" s="13">
        <f>SUM(M69:M77)</f>
        <v>27340</v>
      </c>
      <c r="N78" s="102">
        <f>320+96+80</f>
        <v>496</v>
      </c>
    </row>
    <row r="80" spans="1:14" x14ac:dyDescent="0.25">
      <c r="A80" t="s">
        <v>159</v>
      </c>
    </row>
    <row r="81" spans="1:14" x14ac:dyDescent="0.25">
      <c r="C81" t="s">
        <v>143</v>
      </c>
      <c r="G81">
        <v>1</v>
      </c>
      <c r="H81">
        <v>1</v>
      </c>
      <c r="I81" s="4">
        <v>2000</v>
      </c>
      <c r="J81" s="4">
        <f>G81*H81*I81</f>
        <v>2000</v>
      </c>
    </row>
    <row r="82" spans="1:14" x14ac:dyDescent="0.25">
      <c r="C82" t="s">
        <v>13</v>
      </c>
      <c r="G82">
        <v>2</v>
      </c>
      <c r="H82">
        <v>40</v>
      </c>
      <c r="I82" s="4">
        <v>110</v>
      </c>
      <c r="J82" s="4">
        <f>G82*H82*I82</f>
        <v>8800</v>
      </c>
      <c r="M82" s="6">
        <f>J82</f>
        <v>8800</v>
      </c>
    </row>
    <row r="83" spans="1:14" ht="15.75" thickBot="1" x14ac:dyDescent="0.3">
      <c r="C83" t="s">
        <v>4</v>
      </c>
      <c r="G83">
        <v>1</v>
      </c>
      <c r="H83">
        <f>H82*1.2</f>
        <v>48</v>
      </c>
      <c r="I83" s="4">
        <v>110</v>
      </c>
      <c r="J83" s="7">
        <f>G83*H83*I83</f>
        <v>5280</v>
      </c>
      <c r="M83" s="9">
        <f>J83</f>
        <v>5280</v>
      </c>
    </row>
    <row r="84" spans="1:14" ht="15.75" thickTop="1" x14ac:dyDescent="0.25">
      <c r="J84" s="6">
        <f>SUM(J81:J83)</f>
        <v>16080</v>
      </c>
      <c r="K84" s="10">
        <f>J84*1.25</f>
        <v>20100</v>
      </c>
      <c r="M84" s="10">
        <f>SUM(M82:M83)</f>
        <v>14080</v>
      </c>
      <c r="N84" s="102">
        <f>80+48</f>
        <v>128</v>
      </c>
    </row>
    <row r="86" spans="1:14" x14ac:dyDescent="0.25">
      <c r="A86" t="s">
        <v>160</v>
      </c>
    </row>
    <row r="87" spans="1:14" x14ac:dyDescent="0.25">
      <c r="C87" t="s">
        <v>143</v>
      </c>
      <c r="G87">
        <v>1</v>
      </c>
      <c r="H87">
        <v>1</v>
      </c>
      <c r="I87" s="4">
        <v>5000</v>
      </c>
      <c r="J87" s="4">
        <f>G87*H87*I87</f>
        <v>5000</v>
      </c>
    </row>
    <row r="88" spans="1:14" x14ac:dyDescent="0.25">
      <c r="C88" t="s">
        <v>13</v>
      </c>
      <c r="G88">
        <v>2</v>
      </c>
      <c r="H88">
        <v>40</v>
      </c>
      <c r="I88" s="4">
        <v>110</v>
      </c>
      <c r="J88" s="4">
        <f>G88*H88*I88</f>
        <v>8800</v>
      </c>
      <c r="M88" s="6">
        <f>J88</f>
        <v>8800</v>
      </c>
    </row>
    <row r="89" spans="1:14" ht="15.75" thickBot="1" x14ac:dyDescent="0.3">
      <c r="C89" t="s">
        <v>4</v>
      </c>
      <c r="G89">
        <v>1</v>
      </c>
      <c r="H89">
        <f>H88*1.2</f>
        <v>48</v>
      </c>
      <c r="I89" s="4">
        <v>110</v>
      </c>
      <c r="J89" s="7">
        <f>G89*H89*I89</f>
        <v>5280</v>
      </c>
      <c r="M89" s="9">
        <f>J89</f>
        <v>5280</v>
      </c>
    </row>
    <row r="90" spans="1:14" ht="15.75" thickTop="1" x14ac:dyDescent="0.25">
      <c r="J90" s="6">
        <f>SUM(J87:J89)</f>
        <v>19080</v>
      </c>
      <c r="K90" s="10">
        <f>J90*1.25</f>
        <v>23850</v>
      </c>
      <c r="M90" s="10">
        <f>SUM(M88:M89)</f>
        <v>14080</v>
      </c>
      <c r="N90" s="102">
        <f>80+48</f>
        <v>128</v>
      </c>
    </row>
    <row r="92" spans="1:14" x14ac:dyDescent="0.25">
      <c r="A92" t="s">
        <v>161</v>
      </c>
    </row>
    <row r="93" spans="1:14" x14ac:dyDescent="0.25">
      <c r="C93" t="s">
        <v>143</v>
      </c>
      <c r="G93">
        <v>1</v>
      </c>
      <c r="H93">
        <v>1</v>
      </c>
      <c r="I93" s="4">
        <v>5000</v>
      </c>
      <c r="J93" s="4">
        <f t="shared" ref="J93:J98" si="5">G93*H93*I93</f>
        <v>5000</v>
      </c>
    </row>
    <row r="94" spans="1:14" x14ac:dyDescent="0.25">
      <c r="C94" t="s">
        <v>13</v>
      </c>
      <c r="G94">
        <v>6</v>
      </c>
      <c r="H94">
        <v>120</v>
      </c>
      <c r="I94" s="4">
        <v>55</v>
      </c>
      <c r="J94" s="4">
        <f t="shared" si="5"/>
        <v>39600</v>
      </c>
      <c r="M94" s="6">
        <f>J94</f>
        <v>39600</v>
      </c>
    </row>
    <row r="95" spans="1:14" x14ac:dyDescent="0.25">
      <c r="C95" t="s">
        <v>148</v>
      </c>
      <c r="G95">
        <v>1</v>
      </c>
      <c r="H95">
        <v>120</v>
      </c>
      <c r="I95" s="4">
        <v>125</v>
      </c>
      <c r="J95" s="4">
        <f t="shared" si="5"/>
        <v>15000</v>
      </c>
      <c r="M95" s="6">
        <f>J95*0.35</f>
        <v>5250</v>
      </c>
    </row>
    <row r="96" spans="1:14" x14ac:dyDescent="0.25">
      <c r="C96" t="s">
        <v>139</v>
      </c>
      <c r="G96">
        <v>2</v>
      </c>
      <c r="H96">
        <v>120</v>
      </c>
      <c r="I96" s="4">
        <v>10</v>
      </c>
      <c r="J96" s="4">
        <f t="shared" si="5"/>
        <v>2400</v>
      </c>
    </row>
    <row r="97" spans="1:14" x14ac:dyDescent="0.25">
      <c r="C97" t="s">
        <v>162</v>
      </c>
      <c r="G97">
        <v>1</v>
      </c>
      <c r="H97">
        <v>80</v>
      </c>
      <c r="I97" s="4">
        <v>175</v>
      </c>
      <c r="J97" s="4">
        <f t="shared" si="5"/>
        <v>14000</v>
      </c>
      <c r="M97" s="6">
        <f>J97*0.35</f>
        <v>4900</v>
      </c>
    </row>
    <row r="98" spans="1:14" ht="15.75" thickBot="1" x14ac:dyDescent="0.3">
      <c r="C98" t="s">
        <v>4</v>
      </c>
      <c r="G98">
        <v>1</v>
      </c>
      <c r="H98">
        <f>H94*1.2</f>
        <v>144</v>
      </c>
      <c r="I98" s="4">
        <v>65</v>
      </c>
      <c r="J98" s="7">
        <f t="shared" si="5"/>
        <v>9360</v>
      </c>
      <c r="M98" s="9">
        <f>J98</f>
        <v>9360</v>
      </c>
    </row>
    <row r="99" spans="1:14" ht="15.75" thickTop="1" x14ac:dyDescent="0.25">
      <c r="J99" s="6">
        <f>SUM(J93:J98)</f>
        <v>85360</v>
      </c>
      <c r="K99" s="10">
        <f>J99*1.25</f>
        <v>106700</v>
      </c>
      <c r="M99" s="13">
        <f>SUM(M93:M98)</f>
        <v>59110</v>
      </c>
      <c r="N99" s="102">
        <f>720+120+80+144</f>
        <v>1064</v>
      </c>
    </row>
    <row r="101" spans="1:14" x14ac:dyDescent="0.25">
      <c r="A101" t="s">
        <v>163</v>
      </c>
    </row>
    <row r="102" spans="1:14" x14ac:dyDescent="0.25">
      <c r="C102" t="s">
        <v>143</v>
      </c>
      <c r="G102">
        <v>1</v>
      </c>
      <c r="H102">
        <v>1</v>
      </c>
      <c r="I102" s="4">
        <v>1000</v>
      </c>
      <c r="J102" s="4">
        <f>G102*H102*I102</f>
        <v>1000</v>
      </c>
    </row>
    <row r="103" spans="1:14" x14ac:dyDescent="0.25">
      <c r="C103" t="s">
        <v>13</v>
      </c>
      <c r="G103">
        <v>3</v>
      </c>
      <c r="H103">
        <v>40</v>
      </c>
      <c r="I103" s="4">
        <v>55</v>
      </c>
      <c r="J103" s="4">
        <f>G103*H103*I103</f>
        <v>6600</v>
      </c>
      <c r="M103" s="6">
        <f>J103</f>
        <v>6600</v>
      </c>
    </row>
    <row r="104" spans="1:14" x14ac:dyDescent="0.25">
      <c r="C104" t="s">
        <v>164</v>
      </c>
      <c r="G104">
        <v>1</v>
      </c>
      <c r="H104">
        <v>40</v>
      </c>
      <c r="I104" s="4">
        <v>125</v>
      </c>
      <c r="J104" s="4">
        <f>G104*H104*I104</f>
        <v>5000</v>
      </c>
      <c r="M104" s="6">
        <f>J104*0.35</f>
        <v>1750</v>
      </c>
    </row>
    <row r="105" spans="1:14" x14ac:dyDescent="0.25">
      <c r="C105" t="s">
        <v>139</v>
      </c>
      <c r="G105">
        <v>2</v>
      </c>
      <c r="H105">
        <v>40</v>
      </c>
      <c r="I105" s="4">
        <v>10</v>
      </c>
      <c r="J105" s="4">
        <f>G105*H105*I105</f>
        <v>800</v>
      </c>
    </row>
    <row r="106" spans="1:14" ht="15.75" thickBot="1" x14ac:dyDescent="0.3">
      <c r="C106" t="s">
        <v>4</v>
      </c>
      <c r="G106">
        <v>1</v>
      </c>
      <c r="H106">
        <f>H103*1.2</f>
        <v>48</v>
      </c>
      <c r="I106" s="4">
        <v>65</v>
      </c>
      <c r="J106" s="7">
        <f>G106*H106*I106</f>
        <v>3120</v>
      </c>
      <c r="M106" s="9">
        <f>J106</f>
        <v>3120</v>
      </c>
    </row>
    <row r="107" spans="1:14" ht="15.75" thickTop="1" x14ac:dyDescent="0.25">
      <c r="J107" s="6">
        <f>SUM(J102:J106)</f>
        <v>16520</v>
      </c>
      <c r="K107" s="10">
        <f>J107*1.25</f>
        <v>20650</v>
      </c>
      <c r="M107" s="13">
        <f>SUM(M102:M106)</f>
        <v>11470</v>
      </c>
      <c r="N107" s="102">
        <f>120+40+48</f>
        <v>208</v>
      </c>
    </row>
    <row r="109" spans="1:14" x14ac:dyDescent="0.25">
      <c r="A109" t="s">
        <v>165</v>
      </c>
    </row>
    <row r="110" spans="1:14" x14ac:dyDescent="0.25">
      <c r="C110" t="s">
        <v>143</v>
      </c>
      <c r="G110">
        <v>1</v>
      </c>
      <c r="H110">
        <v>120</v>
      </c>
      <c r="I110" s="4">
        <v>30</v>
      </c>
      <c r="J110" s="4">
        <f>G110*H110*I110</f>
        <v>3600</v>
      </c>
    </row>
    <row r="111" spans="1:14" x14ac:dyDescent="0.25">
      <c r="C111" t="s">
        <v>166</v>
      </c>
      <c r="G111">
        <v>1</v>
      </c>
      <c r="H111">
        <v>600</v>
      </c>
      <c r="I111" s="4">
        <v>10</v>
      </c>
      <c r="J111" s="4">
        <f>G111*H111*I111</f>
        <v>6000</v>
      </c>
    </row>
    <row r="112" spans="1:14" x14ac:dyDescent="0.25">
      <c r="C112" t="s">
        <v>167</v>
      </c>
      <c r="G112">
        <v>1</v>
      </c>
      <c r="H112">
        <v>1</v>
      </c>
      <c r="I112" s="4">
        <v>250</v>
      </c>
      <c r="J112" s="4">
        <v>250</v>
      </c>
    </row>
    <row r="113" spans="1:14" x14ac:dyDescent="0.25">
      <c r="C113" t="s">
        <v>13</v>
      </c>
      <c r="G113">
        <v>3</v>
      </c>
      <c r="H113">
        <v>60</v>
      </c>
      <c r="I113" s="4">
        <v>55</v>
      </c>
      <c r="J113" s="4">
        <f>G113*H113*I113</f>
        <v>9900</v>
      </c>
      <c r="M113" s="6">
        <f>J113</f>
        <v>9900</v>
      </c>
    </row>
    <row r="114" spans="1:14" x14ac:dyDescent="0.25">
      <c r="C114" t="s">
        <v>164</v>
      </c>
      <c r="G114">
        <v>1</v>
      </c>
      <c r="H114">
        <v>60</v>
      </c>
      <c r="I114" s="4">
        <v>125</v>
      </c>
      <c r="J114" s="4">
        <f>G114*H114*I114</f>
        <v>7500</v>
      </c>
      <c r="M114" s="6">
        <f>J114*0.35</f>
        <v>2625</v>
      </c>
    </row>
    <row r="115" spans="1:14" x14ac:dyDescent="0.25">
      <c r="C115" t="s">
        <v>139</v>
      </c>
      <c r="G115">
        <v>2</v>
      </c>
      <c r="H115">
        <v>60</v>
      </c>
      <c r="I115" s="4">
        <v>10</v>
      </c>
      <c r="J115" s="4">
        <f>G115*H115*I115</f>
        <v>1200</v>
      </c>
    </row>
    <row r="116" spans="1:14" ht="15.75" thickBot="1" x14ac:dyDescent="0.3">
      <c r="C116" t="s">
        <v>4</v>
      </c>
      <c r="G116">
        <v>1</v>
      </c>
      <c r="H116">
        <f>H113*1.2</f>
        <v>72</v>
      </c>
      <c r="I116" s="4">
        <v>65</v>
      </c>
      <c r="J116" s="7">
        <f>G116*H116*I116</f>
        <v>4680</v>
      </c>
      <c r="M116" s="9">
        <f>J116</f>
        <v>4680</v>
      </c>
    </row>
    <row r="117" spans="1:14" ht="15.75" thickTop="1" x14ac:dyDescent="0.25">
      <c r="J117" s="6">
        <f>SUM(J110:J116)</f>
        <v>33130</v>
      </c>
      <c r="K117" s="10">
        <f>J117*1.25</f>
        <v>41412.5</v>
      </c>
      <c r="M117" s="13">
        <f>SUM(M110:M116)</f>
        <v>17205</v>
      </c>
      <c r="N117" s="102">
        <f>180+60+72</f>
        <v>312</v>
      </c>
    </row>
    <row r="118" spans="1:14" x14ac:dyDescent="0.25">
      <c r="A118" t="s">
        <v>168</v>
      </c>
    </row>
    <row r="119" spans="1:14" x14ac:dyDescent="0.25">
      <c r="C119" t="s">
        <v>143</v>
      </c>
      <c r="G119">
        <v>1</v>
      </c>
      <c r="H119">
        <v>1</v>
      </c>
      <c r="I119" s="4">
        <v>2000</v>
      </c>
      <c r="J119" s="4">
        <v>5000</v>
      </c>
    </row>
    <row r="120" spans="1:14" x14ac:dyDescent="0.25">
      <c r="C120" t="s">
        <v>13</v>
      </c>
      <c r="G120">
        <v>2</v>
      </c>
      <c r="H120">
        <v>40</v>
      </c>
      <c r="I120" s="4">
        <v>110</v>
      </c>
      <c r="J120" s="4">
        <f>G120*H120*I120</f>
        <v>8800</v>
      </c>
      <c r="M120" s="6">
        <f>J120</f>
        <v>8800</v>
      </c>
    </row>
    <row r="121" spans="1:14" ht="15.75" thickBot="1" x14ac:dyDescent="0.3">
      <c r="C121" t="s">
        <v>4</v>
      </c>
      <c r="G121">
        <v>1</v>
      </c>
      <c r="H121">
        <f>H120*1.2</f>
        <v>48</v>
      </c>
      <c r="I121" s="4">
        <v>110</v>
      </c>
      <c r="J121" s="7">
        <f>G121*H121*I121</f>
        <v>5280</v>
      </c>
      <c r="M121" s="9">
        <f>J121</f>
        <v>5280</v>
      </c>
    </row>
    <row r="122" spans="1:14" ht="15.75" thickTop="1" x14ac:dyDescent="0.25">
      <c r="J122" s="6">
        <f>SUM(J119:J121)</f>
        <v>19080</v>
      </c>
      <c r="K122" s="10">
        <f>J122*1.25</f>
        <v>23850</v>
      </c>
      <c r="M122" s="10">
        <f>SUM(M120:M121)</f>
        <v>14080</v>
      </c>
      <c r="N122" s="102">
        <f>80+48</f>
        <v>128</v>
      </c>
    </row>
    <row r="124" spans="1:14" x14ac:dyDescent="0.25">
      <c r="A124" t="s">
        <v>169</v>
      </c>
    </row>
    <row r="125" spans="1:14" x14ac:dyDescent="0.25">
      <c r="C125" t="s">
        <v>170</v>
      </c>
      <c r="G125">
        <v>1</v>
      </c>
      <c r="H125">
        <v>137</v>
      </c>
      <c r="I125" s="4">
        <v>125</v>
      </c>
      <c r="J125" s="4">
        <f>G125*H125*I125</f>
        <v>17125</v>
      </c>
    </row>
    <row r="126" spans="1:14" x14ac:dyDescent="0.25">
      <c r="C126" t="s">
        <v>171</v>
      </c>
      <c r="G126">
        <v>1</v>
      </c>
      <c r="H126">
        <v>25</v>
      </c>
      <c r="I126" s="4">
        <v>125</v>
      </c>
      <c r="J126" s="4">
        <f>G126*H126*I126</f>
        <v>3125</v>
      </c>
    </row>
    <row r="127" spans="1:14" x14ac:dyDescent="0.25">
      <c r="C127" t="s">
        <v>13</v>
      </c>
      <c r="G127">
        <v>2</v>
      </c>
      <c r="H127">
        <v>80</v>
      </c>
      <c r="I127" s="4">
        <v>110</v>
      </c>
      <c r="J127" s="4">
        <f>G127*H127*I127</f>
        <v>17600</v>
      </c>
      <c r="M127" s="6">
        <f>J127</f>
        <v>17600</v>
      </c>
    </row>
    <row r="128" spans="1:14" ht="15.75" thickBot="1" x14ac:dyDescent="0.3">
      <c r="C128" t="s">
        <v>4</v>
      </c>
      <c r="G128">
        <v>1</v>
      </c>
      <c r="H128">
        <f>H127*1.2</f>
        <v>96</v>
      </c>
      <c r="I128" s="4">
        <v>110</v>
      </c>
      <c r="J128" s="7">
        <f>G128*H128*I128</f>
        <v>10560</v>
      </c>
      <c r="M128" s="9">
        <f>J128</f>
        <v>10560</v>
      </c>
    </row>
    <row r="129" spans="1:14" ht="15.75" thickTop="1" x14ac:dyDescent="0.25">
      <c r="J129" s="6">
        <f>SUM(J125:J128)</f>
        <v>48410</v>
      </c>
      <c r="K129" s="10">
        <f>J129*1.25</f>
        <v>60512.5</v>
      </c>
      <c r="M129" s="13">
        <f>SUM(M125:M128)</f>
        <v>28160</v>
      </c>
      <c r="N129" s="102">
        <f>160+96</f>
        <v>256</v>
      </c>
    </row>
    <row r="132" spans="1:14" x14ac:dyDescent="0.25">
      <c r="A132" t="s">
        <v>172</v>
      </c>
    </row>
    <row r="133" spans="1:14" x14ac:dyDescent="0.25">
      <c r="A133">
        <v>9000</v>
      </c>
      <c r="C133" t="s">
        <v>173</v>
      </c>
      <c r="G133">
        <v>1</v>
      </c>
      <c r="H133">
        <v>245</v>
      </c>
      <c r="I133" s="4">
        <v>125</v>
      </c>
      <c r="J133" s="4">
        <f>G133*H133*I133</f>
        <v>30625</v>
      </c>
      <c r="M133" s="6">
        <f>J133*0.35</f>
        <v>10718.75</v>
      </c>
      <c r="N133" s="102">
        <f>M133/55</f>
        <v>194.88636363636363</v>
      </c>
    </row>
    <row r="134" spans="1:14" x14ac:dyDescent="0.25">
      <c r="C134" t="s">
        <v>140</v>
      </c>
      <c r="G134">
        <v>1</v>
      </c>
      <c r="H134">
        <v>670</v>
      </c>
      <c r="I134" s="4">
        <v>30</v>
      </c>
      <c r="J134" s="4">
        <f>G134*H134*I134</f>
        <v>20100</v>
      </c>
      <c r="M134" s="6">
        <f>J134*0.35</f>
        <v>7035</v>
      </c>
      <c r="N134" s="102">
        <f>4*8*4</f>
        <v>128</v>
      </c>
    </row>
    <row r="135" spans="1:14" ht="15.75" thickBot="1" x14ac:dyDescent="0.3">
      <c r="C135" t="s">
        <v>174</v>
      </c>
      <c r="G135">
        <v>1</v>
      </c>
      <c r="H135">
        <v>9000</v>
      </c>
      <c r="I135" s="4">
        <v>1.25</v>
      </c>
      <c r="J135" s="4">
        <f>G135*H135*I135</f>
        <v>11250</v>
      </c>
      <c r="M135" s="9">
        <f>J135*0.25</f>
        <v>2812.5</v>
      </c>
      <c r="N135" s="102">
        <v>51</v>
      </c>
    </row>
    <row r="136" spans="1:14" ht="16.5" thickTop="1" thickBot="1" x14ac:dyDescent="0.3">
      <c r="C136" t="s">
        <v>4</v>
      </c>
      <c r="I136" s="4"/>
      <c r="J136" s="7">
        <f>G136*H136*I136</f>
        <v>0</v>
      </c>
      <c r="M136" s="10">
        <f>SUM(M133:M135)</f>
        <v>20566.25</v>
      </c>
    </row>
    <row r="137" spans="1:14" ht="16.5" thickTop="1" thickBot="1" x14ac:dyDescent="0.3">
      <c r="J137" s="6">
        <f>SUM(J133:J136)</f>
        <v>61975</v>
      </c>
      <c r="K137" s="89">
        <f>J137*1.25</f>
        <v>77468.75</v>
      </c>
      <c r="M137" s="24"/>
    </row>
    <row r="138" spans="1:14" ht="15.75" thickTop="1" x14ac:dyDescent="0.25">
      <c r="J138" s="6"/>
      <c r="K138" s="10">
        <f>SUM(K3:K137)</f>
        <v>919024.61250000005</v>
      </c>
      <c r="M138" s="6">
        <f>SUM(M11:M134)</f>
        <v>575680.25</v>
      </c>
    </row>
    <row r="139" spans="1:14" x14ac:dyDescent="0.25">
      <c r="A139" t="s">
        <v>175</v>
      </c>
      <c r="J139" s="6">
        <v>250000</v>
      </c>
      <c r="K139" s="10">
        <f>J139*1.25</f>
        <v>312500</v>
      </c>
      <c r="M139" s="6">
        <f>K139*0.35</f>
        <v>109375</v>
      </c>
      <c r="N139" s="102">
        <f>M139/55</f>
        <v>1988.6363636363637</v>
      </c>
    </row>
    <row r="140" spans="1:14" x14ac:dyDescent="0.25">
      <c r="A140" t="s">
        <v>176</v>
      </c>
      <c r="J140" s="6">
        <v>30000</v>
      </c>
      <c r="K140" s="6">
        <v>37500</v>
      </c>
      <c r="M140" s="6">
        <v>31875</v>
      </c>
      <c r="N140" s="102">
        <f>M140/125</f>
        <v>255</v>
      </c>
    </row>
    <row r="141" spans="1:14" x14ac:dyDescent="0.25">
      <c r="A141" t="s">
        <v>177</v>
      </c>
      <c r="J141" s="4">
        <v>16750</v>
      </c>
      <c r="K141" s="6">
        <v>25000</v>
      </c>
      <c r="M141" s="6">
        <v>23570</v>
      </c>
    </row>
    <row r="142" spans="1:14" x14ac:dyDescent="0.25">
      <c r="A142" t="s">
        <v>178</v>
      </c>
      <c r="J142" s="4">
        <v>1000</v>
      </c>
      <c r="K142" s="6">
        <f t="shared" ref="K142:K147" si="6">J142*1.25</f>
        <v>1250</v>
      </c>
      <c r="M142" s="6">
        <v>1059.78</v>
      </c>
    </row>
    <row r="143" spans="1:14" x14ac:dyDescent="0.25">
      <c r="A143" t="s">
        <v>237</v>
      </c>
      <c r="J143" s="143">
        <v>1380000</v>
      </c>
      <c r="K143" s="6">
        <f t="shared" si="6"/>
        <v>1725000</v>
      </c>
      <c r="M143" s="6"/>
    </row>
    <row r="144" spans="1:14" x14ac:dyDescent="0.25">
      <c r="A144" t="s">
        <v>179</v>
      </c>
      <c r="J144" s="4">
        <v>1000</v>
      </c>
      <c r="K144" s="6">
        <f t="shared" si="6"/>
        <v>1250</v>
      </c>
      <c r="M144" s="6">
        <v>1062.5</v>
      </c>
    </row>
    <row r="145" spans="1:14" x14ac:dyDescent="0.25">
      <c r="A145" t="s">
        <v>180</v>
      </c>
      <c r="J145" s="4">
        <v>20000</v>
      </c>
      <c r="K145" s="6">
        <f t="shared" si="6"/>
        <v>25000</v>
      </c>
      <c r="M145" s="6">
        <v>21250</v>
      </c>
    </row>
    <row r="146" spans="1:14" x14ac:dyDescent="0.25">
      <c r="A146" t="s">
        <v>181</v>
      </c>
      <c r="J146" s="4">
        <v>5000</v>
      </c>
      <c r="K146" s="6">
        <f t="shared" si="6"/>
        <v>6250</v>
      </c>
      <c r="M146" s="6">
        <v>5312.5</v>
      </c>
    </row>
    <row r="147" spans="1:14" ht="15.75" thickBot="1" x14ac:dyDescent="0.3">
      <c r="A147" t="s">
        <v>182</v>
      </c>
      <c r="J147" s="4">
        <v>15000</v>
      </c>
      <c r="K147" s="9">
        <f t="shared" si="6"/>
        <v>18750</v>
      </c>
      <c r="M147" s="6">
        <v>15937.5</v>
      </c>
    </row>
    <row r="148" spans="1:14" ht="15.75" thickTop="1" x14ac:dyDescent="0.25">
      <c r="K148" s="10">
        <f>SUM(K138:K147)</f>
        <v>3071524.6124999998</v>
      </c>
    </row>
    <row r="149" spans="1:14" x14ac:dyDescent="0.25">
      <c r="A149" t="s">
        <v>183</v>
      </c>
      <c r="J149" s="90">
        <v>0.12</v>
      </c>
      <c r="K149" s="6">
        <f>K148*0.12</f>
        <v>368582.95349999995</v>
      </c>
      <c r="M149" s="4">
        <f>K149*0.85</f>
        <v>313295.51047499996</v>
      </c>
    </row>
    <row r="150" spans="1:14" x14ac:dyDescent="0.25">
      <c r="A150" t="s">
        <v>184</v>
      </c>
      <c r="J150" s="90">
        <v>0.05</v>
      </c>
      <c r="K150" s="6">
        <f>K148*0.05</f>
        <v>153576.230625</v>
      </c>
      <c r="M150" s="6">
        <f>K150*0.85</f>
        <v>130539.79603124999</v>
      </c>
    </row>
    <row r="151" spans="1:14" x14ac:dyDescent="0.25">
      <c r="J151" s="105" t="s">
        <v>185</v>
      </c>
      <c r="K151" s="88">
        <f>SUM(K148:K150)</f>
        <v>3593683.7966249995</v>
      </c>
      <c r="M151" s="10">
        <f>SUM(M138:M150)</f>
        <v>1228957.8365062498</v>
      </c>
      <c r="N151" s="94">
        <f>M151/K151</f>
        <v>0.3419771760833335</v>
      </c>
    </row>
  </sheetData>
  <pageMargins left="0.7" right="0.7" top="0.75" bottom="0.75" header="0.3" footer="0.3"/>
  <pageSetup scale="76" fitToHeight="0" orientation="landscape" horizontalDpi="4294967293" r:id="rId1"/>
  <rowBreaks count="2" manualBreakCount="2">
    <brk id="85" max="16383" man="1"/>
    <brk id="1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L64"/>
  <sheetViews>
    <sheetView topLeftCell="A34" zoomScaleNormal="100" workbookViewId="0">
      <selection activeCell="F63" sqref="F63"/>
    </sheetView>
  </sheetViews>
  <sheetFormatPr defaultRowHeight="15" x14ac:dyDescent="0.25"/>
  <cols>
    <col min="1" max="1" width="25.7109375" customWidth="1"/>
    <col min="6" max="6" width="15.5703125" customWidth="1"/>
    <col min="7" max="7" width="4.140625" customWidth="1"/>
    <col min="8" max="8" width="14.140625" bestFit="1" customWidth="1"/>
    <col min="11" max="11" width="14.7109375" bestFit="1" customWidth="1"/>
    <col min="12" max="12" width="13.7109375" bestFit="1" customWidth="1"/>
  </cols>
  <sheetData>
    <row r="2" spans="1:8" ht="21" x14ac:dyDescent="0.35">
      <c r="A2" s="148" t="s">
        <v>225</v>
      </c>
      <c r="B2" s="148"/>
      <c r="C2" s="148"/>
      <c r="D2" s="148"/>
      <c r="E2" s="148"/>
      <c r="F2" s="148"/>
      <c r="G2" s="148"/>
      <c r="H2" s="148"/>
    </row>
    <row r="3" spans="1:8" ht="21.75" thickBot="1" x14ac:dyDescent="0.4">
      <c r="B3" s="84"/>
      <c r="H3" s="5" t="s">
        <v>189</v>
      </c>
    </row>
    <row r="4" spans="1:8" x14ac:dyDescent="0.25">
      <c r="A4" s="26" t="s">
        <v>38</v>
      </c>
      <c r="B4" s="27" t="s">
        <v>224</v>
      </c>
      <c r="C4" s="27"/>
      <c r="D4" s="27"/>
      <c r="E4" s="27"/>
      <c r="F4" s="81">
        <v>20000</v>
      </c>
      <c r="H4" s="6">
        <f>F4*0.33</f>
        <v>6600</v>
      </c>
    </row>
    <row r="5" spans="1:8" x14ac:dyDescent="0.25">
      <c r="A5" s="29"/>
      <c r="F5" s="30"/>
    </row>
    <row r="6" spans="1:8" x14ac:dyDescent="0.25">
      <c r="A6" s="29"/>
      <c r="B6" t="s">
        <v>226</v>
      </c>
      <c r="F6" s="31">
        <f>'Demo Pricing'!G12</f>
        <v>0</v>
      </c>
    </row>
    <row r="7" spans="1:8" x14ac:dyDescent="0.25">
      <c r="A7" s="29"/>
      <c r="F7" s="30"/>
    </row>
    <row r="8" spans="1:8" x14ac:dyDescent="0.25">
      <c r="A8" s="29"/>
      <c r="B8" t="s">
        <v>236</v>
      </c>
      <c r="F8" s="31">
        <f>'Demo Pricing'!G22</f>
        <v>0</v>
      </c>
    </row>
    <row r="9" spans="1:8" x14ac:dyDescent="0.25">
      <c r="A9" s="29"/>
      <c r="F9" s="30"/>
    </row>
    <row r="10" spans="1:8" ht="15.75" thickBot="1" x14ac:dyDescent="0.3">
      <c r="A10" s="32"/>
      <c r="B10" s="33"/>
      <c r="C10" s="33"/>
      <c r="D10" s="33"/>
      <c r="E10" s="33" t="s">
        <v>39</v>
      </c>
      <c r="F10" s="34">
        <f>'Demo Pricing'!G25</f>
        <v>0</v>
      </c>
      <c r="H10" s="6">
        <f>'Demo Pricing'!K25</f>
        <v>0</v>
      </c>
    </row>
    <row r="11" spans="1:8" ht="15.75" thickBot="1" x14ac:dyDescent="0.3"/>
    <row r="12" spans="1:8" x14ac:dyDescent="0.25">
      <c r="A12" s="26" t="s">
        <v>111</v>
      </c>
      <c r="B12" s="27"/>
      <c r="C12" s="35">
        <f>'Excavation-Rock'!H3</f>
        <v>11796.296296296294</v>
      </c>
      <c r="D12" s="27" t="s">
        <v>41</v>
      </c>
      <c r="E12" s="27"/>
      <c r="F12" s="36"/>
    </row>
    <row r="13" spans="1:8" x14ac:dyDescent="0.25">
      <c r="A13" s="29"/>
      <c r="B13" t="s">
        <v>9</v>
      </c>
      <c r="F13" s="31">
        <f>'Excavation-Rock'!G13</f>
        <v>158167.96296296295</v>
      </c>
    </row>
    <row r="14" spans="1:8" x14ac:dyDescent="0.25">
      <c r="A14" s="29"/>
      <c r="F14" s="30"/>
    </row>
    <row r="15" spans="1:8" x14ac:dyDescent="0.25">
      <c r="A15" s="29"/>
      <c r="B15" t="s">
        <v>40</v>
      </c>
      <c r="F15" s="31">
        <f>'Excavation-Rock'!G23</f>
        <v>66000</v>
      </c>
    </row>
    <row r="16" spans="1:8" x14ac:dyDescent="0.25">
      <c r="A16" s="29"/>
      <c r="F16" s="30"/>
    </row>
    <row r="17" spans="1:8" x14ac:dyDescent="0.25">
      <c r="A17" s="29"/>
      <c r="B17" t="s">
        <v>42</v>
      </c>
      <c r="F17" s="31">
        <f>'Excavation-Rock'!G34</f>
        <v>353706.875</v>
      </c>
    </row>
    <row r="18" spans="1:8" x14ac:dyDescent="0.25">
      <c r="A18" s="29"/>
      <c r="F18" s="30"/>
    </row>
    <row r="19" spans="1:8" x14ac:dyDescent="0.25">
      <c r="A19" s="29"/>
      <c r="B19" t="s">
        <v>20</v>
      </c>
      <c r="F19" s="31">
        <f>'Excavation-Rock'!G42</f>
        <v>41000</v>
      </c>
    </row>
    <row r="20" spans="1:8" x14ac:dyDescent="0.25">
      <c r="A20" s="29"/>
      <c r="F20" s="30"/>
    </row>
    <row r="21" spans="1:8" x14ac:dyDescent="0.25">
      <c r="A21" s="29"/>
      <c r="B21" t="s">
        <v>43</v>
      </c>
      <c r="F21" s="31">
        <f>'Excavation-Rock'!G50</f>
        <v>13312.5</v>
      </c>
    </row>
    <row r="22" spans="1:8" x14ac:dyDescent="0.25">
      <c r="A22" s="29"/>
      <c r="F22" s="30"/>
    </row>
    <row r="23" spans="1:8" x14ac:dyDescent="0.25">
      <c r="A23" s="29"/>
      <c r="B23" t="s">
        <v>23</v>
      </c>
      <c r="F23" s="31">
        <f>'Excavation-Rock'!G54</f>
        <v>12500</v>
      </c>
    </row>
    <row r="24" spans="1:8" x14ac:dyDescent="0.25">
      <c r="A24" s="29"/>
      <c r="F24" s="30"/>
    </row>
    <row r="25" spans="1:8" x14ac:dyDescent="0.25">
      <c r="A25" s="29"/>
      <c r="B25" t="s">
        <v>44</v>
      </c>
      <c r="F25" s="31">
        <f>'Excavation-Rock'!G58</f>
        <v>500</v>
      </c>
    </row>
    <row r="26" spans="1:8" x14ac:dyDescent="0.25">
      <c r="A26" s="29"/>
      <c r="F26" s="30"/>
    </row>
    <row r="27" spans="1:8" ht="15.75" thickBot="1" x14ac:dyDescent="0.3">
      <c r="A27" s="32"/>
      <c r="B27" s="33"/>
      <c r="C27" s="33"/>
      <c r="D27" s="33"/>
      <c r="E27" s="33" t="s">
        <v>45</v>
      </c>
      <c r="F27" s="34">
        <f>'Excavation-Rock'!G60</f>
        <v>645187.33796296292</v>
      </c>
      <c r="H27" s="6">
        <f>'Excavation-Rock'!K61</f>
        <v>182173.94930555555</v>
      </c>
    </row>
    <row r="28" spans="1:8" ht="15.75" thickBot="1" x14ac:dyDescent="0.3"/>
    <row r="29" spans="1:8" x14ac:dyDescent="0.25">
      <c r="A29" s="26" t="s">
        <v>112</v>
      </c>
      <c r="B29" s="27"/>
      <c r="C29" s="27"/>
      <c r="D29" s="27"/>
      <c r="E29" s="27"/>
      <c r="F29" s="28"/>
    </row>
    <row r="30" spans="1:8" x14ac:dyDescent="0.25">
      <c r="A30" s="29"/>
      <c r="B30" t="s">
        <v>32</v>
      </c>
      <c r="F30" s="31">
        <f>'Concrete-Rebar'!E6</f>
        <v>156789.11111111112</v>
      </c>
    </row>
    <row r="31" spans="1:8" x14ac:dyDescent="0.25">
      <c r="A31" s="29"/>
      <c r="F31" s="30"/>
    </row>
    <row r="32" spans="1:8" x14ac:dyDescent="0.25">
      <c r="A32" s="29"/>
      <c r="B32" t="s">
        <v>46</v>
      </c>
      <c r="F32" s="31">
        <f>'Concrete-Rebar'!E7</f>
        <v>947850.56390977441</v>
      </c>
    </row>
    <row r="33" spans="1:11" x14ac:dyDescent="0.25">
      <c r="A33" s="29"/>
      <c r="F33" s="30"/>
    </row>
    <row r="34" spans="1:11" x14ac:dyDescent="0.25">
      <c r="A34" s="29"/>
      <c r="B34" t="s">
        <v>33</v>
      </c>
      <c r="F34" s="31">
        <f>'Concrete-Rebar'!E8</f>
        <v>640000</v>
      </c>
    </row>
    <row r="35" spans="1:11" x14ac:dyDescent="0.25">
      <c r="A35" s="29"/>
      <c r="F35" s="30"/>
    </row>
    <row r="36" spans="1:11" x14ac:dyDescent="0.25">
      <c r="A36" s="29"/>
      <c r="B36" t="s">
        <v>94</v>
      </c>
      <c r="F36" s="31">
        <f>'Concrete-Rebar'!E9</f>
        <v>65925</v>
      </c>
    </row>
    <row r="37" spans="1:11" x14ac:dyDescent="0.25">
      <c r="A37" s="29"/>
      <c r="F37" s="30"/>
    </row>
    <row r="38" spans="1:11" x14ac:dyDescent="0.25">
      <c r="A38" s="29"/>
      <c r="B38" t="s">
        <v>47</v>
      </c>
      <c r="F38" s="31">
        <f>'Concrete-Rebar'!E10</f>
        <v>34500</v>
      </c>
    </row>
    <row r="39" spans="1:11" x14ac:dyDescent="0.25">
      <c r="A39" s="29"/>
      <c r="F39" s="30"/>
    </row>
    <row r="40" spans="1:11" ht="15.75" thickBot="1" x14ac:dyDescent="0.3">
      <c r="A40" s="32"/>
      <c r="B40" s="33"/>
      <c r="C40" s="33"/>
      <c r="D40" s="33"/>
      <c r="E40" s="33" t="s">
        <v>45</v>
      </c>
      <c r="F40" s="34">
        <f>'Concrete-Rebar'!F11</f>
        <v>2306330.8437761068</v>
      </c>
      <c r="H40" s="6">
        <f>'Concrete-Rebar'!P12</f>
        <v>1326524.1848475358</v>
      </c>
    </row>
    <row r="41" spans="1:11" ht="15.75" thickBot="1" x14ac:dyDescent="0.3"/>
    <row r="42" spans="1:11" x14ac:dyDescent="0.25">
      <c r="A42" s="26" t="s">
        <v>113</v>
      </c>
      <c r="B42" s="27"/>
      <c r="C42" s="27"/>
      <c r="D42" s="27"/>
      <c r="E42" s="27"/>
      <c r="F42" s="28"/>
    </row>
    <row r="43" spans="1:11" x14ac:dyDescent="0.25">
      <c r="A43" s="29"/>
      <c r="B43" t="s">
        <v>48</v>
      </c>
      <c r="F43" s="31">
        <f>Fencing!D5</f>
        <v>30750</v>
      </c>
    </row>
    <row r="44" spans="1:11" x14ac:dyDescent="0.25">
      <c r="A44" s="29"/>
      <c r="F44" s="30"/>
      <c r="K44" s="4"/>
    </row>
    <row r="45" spans="1:11" x14ac:dyDescent="0.25">
      <c r="A45" s="29"/>
      <c r="B45" t="s">
        <v>49</v>
      </c>
      <c r="F45" s="31">
        <f>Fencing!D7</f>
        <v>30000</v>
      </c>
      <c r="K45" s="4"/>
    </row>
    <row r="46" spans="1:11" x14ac:dyDescent="0.25">
      <c r="A46" s="29"/>
      <c r="F46" s="31"/>
      <c r="K46" s="4"/>
    </row>
    <row r="47" spans="1:11" ht="15.75" thickBot="1" x14ac:dyDescent="0.3">
      <c r="A47" s="32"/>
      <c r="B47" s="33"/>
      <c r="C47" s="33"/>
      <c r="D47" s="33"/>
      <c r="E47" s="33" t="s">
        <v>45</v>
      </c>
      <c r="F47" s="34">
        <f>Fencing!D10</f>
        <v>99750</v>
      </c>
      <c r="H47" s="6">
        <f>Fencing!I9</f>
        <v>26184.375</v>
      </c>
      <c r="K47" s="4"/>
    </row>
    <row r="48" spans="1:11" ht="15.75" thickBot="1" x14ac:dyDescent="0.3">
      <c r="F48" s="10"/>
      <c r="K48" s="4"/>
    </row>
    <row r="49" spans="1:12" x14ac:dyDescent="0.25">
      <c r="A49" s="26" t="s">
        <v>106</v>
      </c>
      <c r="B49" s="27"/>
      <c r="C49" s="27"/>
      <c r="D49" s="27"/>
      <c r="E49" s="27"/>
      <c r="F49" s="28"/>
      <c r="L49" s="4"/>
    </row>
    <row r="50" spans="1:12" x14ac:dyDescent="0.25">
      <c r="A50" s="29"/>
      <c r="B50" t="s">
        <v>106</v>
      </c>
      <c r="F50" s="31">
        <f>'Signs-Stripping'!E4</f>
        <v>5250</v>
      </c>
      <c r="K50" s="4"/>
    </row>
    <row r="51" spans="1:12" x14ac:dyDescent="0.25">
      <c r="A51" s="29"/>
      <c r="F51" s="30"/>
      <c r="K51" s="4"/>
    </row>
    <row r="52" spans="1:12" x14ac:dyDescent="0.25">
      <c r="A52" s="41" t="s">
        <v>57</v>
      </c>
      <c r="F52" s="30"/>
      <c r="K52" s="4"/>
    </row>
    <row r="53" spans="1:12" x14ac:dyDescent="0.25">
      <c r="A53" s="29"/>
      <c r="B53" t="s">
        <v>57</v>
      </c>
      <c r="F53" s="31">
        <f>'Signs-Stripping'!E9</f>
        <v>14000</v>
      </c>
      <c r="K53" s="6"/>
    </row>
    <row r="54" spans="1:12" ht="15.75" thickBot="1" x14ac:dyDescent="0.3">
      <c r="A54" s="32"/>
      <c r="B54" s="33"/>
      <c r="C54" s="33"/>
      <c r="D54" s="33"/>
      <c r="E54" s="33" t="s">
        <v>45</v>
      </c>
      <c r="F54" s="34">
        <f>'Signs-Stripping'!E11</f>
        <v>19250</v>
      </c>
      <c r="H54" s="6">
        <f>'Signs-Stripping'!K11</f>
        <v>5534.375</v>
      </c>
    </row>
    <row r="55" spans="1:12" x14ac:dyDescent="0.25">
      <c r="F55" s="10"/>
      <c r="H55" s="6"/>
    </row>
    <row r="56" spans="1:12" x14ac:dyDescent="0.25">
      <c r="A56" t="s">
        <v>123</v>
      </c>
      <c r="E56" t="s">
        <v>45</v>
      </c>
      <c r="F56" s="10">
        <f>F54+F47+F40+F27+F10</f>
        <v>3070518.1817390695</v>
      </c>
    </row>
    <row r="57" spans="1:12" x14ac:dyDescent="0.25">
      <c r="A57" t="s">
        <v>122</v>
      </c>
      <c r="F57" s="6">
        <f>F56*0.12</f>
        <v>368462.18180868833</v>
      </c>
      <c r="H57" s="6">
        <f>F57</f>
        <v>368462.18180868833</v>
      </c>
    </row>
    <row r="58" spans="1:12" x14ac:dyDescent="0.25">
      <c r="A58" t="s">
        <v>117</v>
      </c>
      <c r="F58" s="118">
        <f>F56*0.05</f>
        <v>153525.90908695347</v>
      </c>
    </row>
    <row r="59" spans="1:12" x14ac:dyDescent="0.25">
      <c r="F59" s="10">
        <f>SUM(F56:F58)</f>
        <v>3592506.2726347111</v>
      </c>
    </row>
    <row r="60" spans="1:12" x14ac:dyDescent="0.25">
      <c r="A60" t="s">
        <v>114</v>
      </c>
      <c r="F60" s="118">
        <f>'Street Improvements'!G53</f>
        <v>1884716.4375</v>
      </c>
      <c r="H60" s="6">
        <f>'Street Improvements'!I51</f>
        <v>588798.390625</v>
      </c>
    </row>
    <row r="61" spans="1:12" x14ac:dyDescent="0.25">
      <c r="E61" s="109" t="s">
        <v>45</v>
      </c>
      <c r="F61" s="10">
        <f>F59+F60</f>
        <v>5477222.7101347111</v>
      </c>
    </row>
    <row r="62" spans="1:12" x14ac:dyDescent="0.25">
      <c r="A62" t="s">
        <v>219</v>
      </c>
      <c r="F62" s="119">
        <f>Cargo!K151</f>
        <v>3593683.7966249995</v>
      </c>
      <c r="H62" s="6">
        <f>Cargo!M151</f>
        <v>1228957.8365062498</v>
      </c>
    </row>
    <row r="63" spans="1:12" ht="15.75" thickBot="1" x14ac:dyDescent="0.3">
      <c r="A63" t="s">
        <v>119</v>
      </c>
      <c r="F63" s="120">
        <v>100000</v>
      </c>
      <c r="H63" s="4">
        <v>100000</v>
      </c>
    </row>
    <row r="64" spans="1:12" ht="15.75" thickTop="1" x14ac:dyDescent="0.25">
      <c r="A64" t="s">
        <v>118</v>
      </c>
      <c r="F64" s="88">
        <f>SUM(F61:F63)</f>
        <v>9170906.5067597106</v>
      </c>
      <c r="H64" s="10">
        <f>SUM(H4:H63)</f>
        <v>3833235.2930930294</v>
      </c>
      <c r="I64" s="94">
        <f>H64/F64</f>
        <v>0.41797779644439953</v>
      </c>
    </row>
  </sheetData>
  <mergeCells count="1">
    <mergeCell ref="A2:H2"/>
  </mergeCells>
  <pageMargins left="0.7" right="0.7" top="0.75" bottom="0.75" header="0.3" footer="0.3"/>
  <pageSetup scale="95" fitToHeight="0" orientation="portrait" r:id="rId1"/>
  <rowBreaks count="1" manualBreakCount="1">
    <brk id="2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6"/>
  <sheetViews>
    <sheetView tabSelected="1" topLeftCell="A25" zoomScaleNormal="100" workbookViewId="0">
      <selection activeCell="H51" sqref="H51"/>
    </sheetView>
  </sheetViews>
  <sheetFormatPr defaultRowHeight="15" x14ac:dyDescent="0.25"/>
  <cols>
    <col min="1" max="1" width="36.42578125" bestFit="1" customWidth="1"/>
    <col min="2" max="2" width="4.85546875" customWidth="1"/>
    <col min="3" max="3" width="14.7109375" customWidth="1"/>
    <col min="4" max="4" width="14.7109375" bestFit="1" customWidth="1"/>
    <col min="5" max="6" width="15.5703125" customWidth="1"/>
    <col min="7" max="7" width="6.140625" customWidth="1"/>
    <col min="8" max="8" width="14.28515625" bestFit="1" customWidth="1"/>
    <col min="9" max="9" width="13.7109375" bestFit="1" customWidth="1"/>
    <col min="10" max="10" width="18.7109375" customWidth="1"/>
    <col min="11" max="11" width="27.85546875" customWidth="1"/>
    <col min="12" max="14" width="16.7109375" customWidth="1"/>
    <col min="15" max="15" width="15.28515625" bestFit="1" customWidth="1"/>
  </cols>
  <sheetData>
    <row r="1" spans="1:15" ht="24" customHeight="1" x14ac:dyDescent="0.35">
      <c r="A1" s="148" t="s">
        <v>210</v>
      </c>
      <c r="B1" s="148"/>
      <c r="C1" s="148"/>
      <c r="D1" s="148"/>
      <c r="E1" s="148"/>
      <c r="F1" s="148"/>
      <c r="G1" s="84"/>
      <c r="H1" s="84"/>
    </row>
    <row r="2" spans="1:15" ht="21" x14ac:dyDescent="0.35">
      <c r="D2" s="84"/>
    </row>
    <row r="3" spans="1:15" x14ac:dyDescent="0.25">
      <c r="C3" s="5">
        <v>2023</v>
      </c>
      <c r="D3" s="5">
        <v>2024</v>
      </c>
      <c r="E3" s="5">
        <v>2025</v>
      </c>
      <c r="F3" s="5">
        <v>2026</v>
      </c>
    </row>
    <row r="4" spans="1:15" x14ac:dyDescent="0.25">
      <c r="C4" s="117" t="s">
        <v>186</v>
      </c>
      <c r="D4" s="117" t="s">
        <v>187</v>
      </c>
      <c r="E4" s="117" t="s">
        <v>188</v>
      </c>
      <c r="F4" s="117" t="s">
        <v>241</v>
      </c>
      <c r="G4" s="5"/>
      <c r="H4" s="5" t="s">
        <v>216</v>
      </c>
    </row>
    <row r="5" spans="1:15" x14ac:dyDescent="0.25">
      <c r="A5" s="1" t="s">
        <v>207</v>
      </c>
      <c r="C5" s="114"/>
      <c r="D5" s="5"/>
      <c r="E5" s="5"/>
      <c r="F5" s="5"/>
      <c r="G5" s="5"/>
    </row>
    <row r="6" spans="1:15" x14ac:dyDescent="0.25">
      <c r="A6" s="86" t="s">
        <v>224</v>
      </c>
      <c r="C6" s="106">
        <f>'Demo Pricing'!G2</f>
        <v>0</v>
      </c>
      <c r="E6" s="6"/>
      <c r="F6" s="6"/>
      <c r="K6" s="5"/>
      <c r="L6" s="5"/>
      <c r="M6" s="5"/>
      <c r="N6" s="5"/>
    </row>
    <row r="7" spans="1:15" x14ac:dyDescent="0.25">
      <c r="A7" s="86" t="s">
        <v>242</v>
      </c>
      <c r="C7" s="106">
        <f>'Demo Pricing'!G22</f>
        <v>0</v>
      </c>
      <c r="E7" s="6"/>
      <c r="F7" s="6"/>
      <c r="K7" s="6"/>
      <c r="L7" s="6"/>
      <c r="M7" s="6"/>
      <c r="N7" s="6"/>
    </row>
    <row r="8" spans="1:15" ht="15.75" thickBot="1" x14ac:dyDescent="0.3">
      <c r="A8" s="97" t="s">
        <v>243</v>
      </c>
      <c r="B8" s="33"/>
      <c r="C8" s="107">
        <f>'Demo Pricing'!G12</f>
        <v>0</v>
      </c>
      <c r="D8" s="33"/>
      <c r="E8" s="121"/>
      <c r="F8" s="121"/>
      <c r="H8" s="12">
        <v>0</v>
      </c>
      <c r="K8" s="6"/>
      <c r="L8" s="6"/>
      <c r="M8" s="6"/>
      <c r="N8" s="6"/>
    </row>
    <row r="9" spans="1:15" x14ac:dyDescent="0.25">
      <c r="A9" s="1" t="s">
        <v>228</v>
      </c>
      <c r="D9" s="115"/>
      <c r="K9" s="6"/>
      <c r="L9" s="6"/>
      <c r="M9" s="6"/>
      <c r="N9" s="6"/>
    </row>
    <row r="10" spans="1:15" x14ac:dyDescent="0.25">
      <c r="A10" s="86" t="s">
        <v>116</v>
      </c>
      <c r="C10" s="106">
        <v>172487</v>
      </c>
      <c r="D10" s="106">
        <v>373077.27</v>
      </c>
      <c r="H10">
        <v>4500</v>
      </c>
      <c r="I10" s="6"/>
      <c r="K10" s="6"/>
      <c r="L10" s="6"/>
      <c r="M10" s="6"/>
      <c r="N10" s="6"/>
      <c r="O10" s="6"/>
    </row>
    <row r="11" spans="1:15" x14ac:dyDescent="0.25">
      <c r="A11" s="86" t="s">
        <v>9</v>
      </c>
      <c r="C11" s="106">
        <f>('Excavation-Rock'!G60+Totals!F58)*0.75</f>
        <v>599034.93528743729</v>
      </c>
      <c r="D11" s="106">
        <f>('Excavation-Rock'!G60+Totals!F58)*0.25</f>
        <v>199678.3117624791</v>
      </c>
      <c r="H11" s="12">
        <f>'Excavation-Rock'!L61</f>
        <v>4105.9460437710441</v>
      </c>
      <c r="I11" s="6"/>
      <c r="J11" s="109"/>
      <c r="K11" s="6"/>
      <c r="L11" s="6"/>
      <c r="M11" s="6"/>
      <c r="N11" s="6"/>
    </row>
    <row r="12" spans="1:15" x14ac:dyDescent="0.25">
      <c r="A12" s="86" t="s">
        <v>149</v>
      </c>
      <c r="C12" s="106">
        <f>'Concrete-Rebar'!F11-3000000</f>
        <v>-693669.15622389317</v>
      </c>
      <c r="D12" s="106">
        <v>1000000</v>
      </c>
      <c r="E12" s="106">
        <v>1000000</v>
      </c>
      <c r="F12" s="106">
        <v>1000000</v>
      </c>
      <c r="H12" s="12">
        <f>'Concrete-Rebar'!R12</f>
        <v>22000</v>
      </c>
      <c r="K12" s="6"/>
      <c r="L12" s="6"/>
      <c r="M12" s="6"/>
      <c r="N12" s="6"/>
    </row>
    <row r="13" spans="1:15" x14ac:dyDescent="0.25">
      <c r="A13" s="86" t="s">
        <v>195</v>
      </c>
      <c r="D13" s="6"/>
      <c r="E13" s="106">
        <f>Fencing!D10</f>
        <v>99750</v>
      </c>
      <c r="H13" s="12">
        <f>Fencing!K9</f>
        <v>476.07954545454544</v>
      </c>
      <c r="K13" s="6"/>
      <c r="L13" s="6"/>
      <c r="M13" s="6"/>
      <c r="N13" s="6"/>
    </row>
    <row r="14" spans="1:15" ht="15.75" thickBot="1" x14ac:dyDescent="0.3">
      <c r="A14" s="97" t="s">
        <v>193</v>
      </c>
      <c r="B14" s="33"/>
      <c r="C14" s="33"/>
      <c r="D14" s="121"/>
      <c r="E14" s="107">
        <f>'Signs-Stripping'!E11</f>
        <v>19250</v>
      </c>
      <c r="F14" s="33"/>
      <c r="H14" s="12">
        <f>'Signs-Stripping'!M11</f>
        <v>100.625</v>
      </c>
      <c r="K14" s="6"/>
      <c r="L14" s="6"/>
      <c r="M14" s="6"/>
      <c r="N14" s="6"/>
    </row>
    <row r="15" spans="1:15" x14ac:dyDescent="0.25">
      <c r="A15" s="95" t="s">
        <v>218</v>
      </c>
      <c r="D15" s="115"/>
      <c r="K15" s="6"/>
      <c r="L15" s="6"/>
      <c r="M15" s="6"/>
      <c r="N15" s="6"/>
    </row>
    <row r="16" spans="1:15" x14ac:dyDescent="0.25">
      <c r="A16" s="86" t="s">
        <v>116</v>
      </c>
      <c r="C16" s="106">
        <f>Cargo!K149</f>
        <v>368582.95349999995</v>
      </c>
      <c r="D16" s="6"/>
      <c r="H16">
        <v>969.5</v>
      </c>
      <c r="J16" s="6"/>
      <c r="K16" s="6"/>
      <c r="L16" s="6"/>
      <c r="M16" s="6"/>
      <c r="N16" s="6"/>
    </row>
    <row r="17" spans="1:15" x14ac:dyDescent="0.25">
      <c r="A17" s="86" t="s">
        <v>176</v>
      </c>
      <c r="C17" s="106">
        <f>Cargo!K140</f>
        <v>37500</v>
      </c>
      <c r="D17" s="6"/>
      <c r="H17" s="12">
        <f>Cargo!N140</f>
        <v>255</v>
      </c>
      <c r="K17" s="6"/>
      <c r="L17" s="6"/>
      <c r="M17" s="6"/>
      <c r="N17" s="6"/>
    </row>
    <row r="18" spans="1:15" x14ac:dyDescent="0.25">
      <c r="A18" s="86" t="s">
        <v>203</v>
      </c>
      <c r="C18" s="106">
        <f>Cargo!K141+Cargo!K142+Cargo!K144+Cargo!K145+Cargo!K146+Cargo!K147</f>
        <v>77500</v>
      </c>
      <c r="D18" s="6"/>
      <c r="H18">
        <v>0</v>
      </c>
      <c r="I18" s="6"/>
    </row>
    <row r="19" spans="1:15" x14ac:dyDescent="0.25">
      <c r="A19" s="86" t="s">
        <v>194</v>
      </c>
      <c r="D19" s="106">
        <f>Cargo!K20+Cargo!K31+Cargo!K150</f>
        <v>181851.230625</v>
      </c>
      <c r="H19">
        <f>Cargo!N20</f>
        <v>72</v>
      </c>
      <c r="I19" s="6"/>
    </row>
    <row r="20" spans="1:15" x14ac:dyDescent="0.25">
      <c r="A20" s="86" t="s">
        <v>231</v>
      </c>
      <c r="D20" s="6"/>
      <c r="E20" s="106">
        <f>1725000/2</f>
        <v>862500</v>
      </c>
      <c r="F20" s="106">
        <f>Cargo!K143/2</f>
        <v>862500</v>
      </c>
      <c r="I20" s="6"/>
      <c r="J20" s="6"/>
    </row>
    <row r="21" spans="1:15" x14ac:dyDescent="0.25">
      <c r="A21" s="86" t="s">
        <v>196</v>
      </c>
      <c r="D21" s="106">
        <f>Cargo!K43+Cargo!K55+Cargo!K66+Cargo!K78</f>
        <v>351962.0625</v>
      </c>
      <c r="H21" s="12">
        <f>Cargo!N31+Cargo!N43+Cargo!N55+Cargo!N66+Cargo!N78</f>
        <v>1839</v>
      </c>
    </row>
    <row r="22" spans="1:15" x14ac:dyDescent="0.25">
      <c r="A22" s="86" t="s">
        <v>197</v>
      </c>
      <c r="D22" s="106">
        <f>Cargo!K84</f>
        <v>20100</v>
      </c>
      <c r="H22" s="12">
        <f>Cargo!N84</f>
        <v>128</v>
      </c>
      <c r="J22" s="6"/>
      <c r="K22" s="6"/>
      <c r="L22" s="6"/>
      <c r="M22" s="6"/>
      <c r="N22" s="6"/>
    </row>
    <row r="23" spans="1:15" x14ac:dyDescent="0.25">
      <c r="A23" s="86" t="s">
        <v>198</v>
      </c>
      <c r="D23" s="106">
        <f>Cargo!K90</f>
        <v>23850</v>
      </c>
      <c r="H23" s="12">
        <f>Cargo!N90</f>
        <v>128</v>
      </c>
      <c r="O23" s="6"/>
    </row>
    <row r="24" spans="1:15" x14ac:dyDescent="0.25">
      <c r="A24" s="86" t="s">
        <v>199</v>
      </c>
      <c r="D24" s="106">
        <f>Cargo!K3+Cargo!K4+Cargo!K6+Cargo!K14+Cargo!K99+Cargo!K107+Cargo!K117</f>
        <v>333006.3</v>
      </c>
      <c r="H24" s="12">
        <f>Cargo!N99+Cargo!N107+Cargo!N117</f>
        <v>1584</v>
      </c>
    </row>
    <row r="25" spans="1:15" x14ac:dyDescent="0.25">
      <c r="A25" s="86" t="s">
        <v>175</v>
      </c>
      <c r="D25" s="106">
        <f>Cargo!K139</f>
        <v>312500</v>
      </c>
      <c r="H25" s="12">
        <f>Cargo!N139</f>
        <v>1988.6363636363637</v>
      </c>
    </row>
    <row r="26" spans="1:15" x14ac:dyDescent="0.25">
      <c r="A26" s="86" t="s">
        <v>200</v>
      </c>
      <c r="D26" s="106">
        <f>Cargo!K122</f>
        <v>23850</v>
      </c>
      <c r="H26" s="12">
        <f>Cargo!N122</f>
        <v>128</v>
      </c>
      <c r="J26" s="6"/>
      <c r="K26" s="6"/>
    </row>
    <row r="27" spans="1:15" x14ac:dyDescent="0.25">
      <c r="A27" s="86" t="s">
        <v>201</v>
      </c>
      <c r="D27" s="106">
        <f>Cargo!K129</f>
        <v>60512.5</v>
      </c>
      <c r="H27" s="12">
        <f>Cargo!N129</f>
        <v>256</v>
      </c>
    </row>
    <row r="28" spans="1:15" ht="15.75" thickBot="1" x14ac:dyDescent="0.3">
      <c r="A28" s="97" t="s">
        <v>202</v>
      </c>
      <c r="B28" s="33"/>
      <c r="C28" s="33"/>
      <c r="D28" s="107">
        <f>Cargo!K137</f>
        <v>77468.75</v>
      </c>
      <c r="E28" s="33"/>
      <c r="F28" s="33"/>
      <c r="H28" s="12">
        <f>Cargo!N133+Cargo!N134+Cargo!N135</f>
        <v>373.88636363636363</v>
      </c>
      <c r="J28" s="6"/>
      <c r="L28" s="6"/>
      <c r="M28" s="6"/>
      <c r="N28" s="6"/>
      <c r="O28" s="6"/>
    </row>
    <row r="29" spans="1:15" x14ac:dyDescent="0.25">
      <c r="A29" s="1" t="s">
        <v>192</v>
      </c>
      <c r="E29" s="115"/>
      <c r="F29" s="115"/>
    </row>
    <row r="30" spans="1:15" x14ac:dyDescent="0.25">
      <c r="A30" s="86" t="s">
        <v>116</v>
      </c>
      <c r="D30" s="106">
        <v>57991.27</v>
      </c>
      <c r="E30" s="106">
        <v>135312.98000000001</v>
      </c>
      <c r="F30" s="6"/>
      <c r="H30">
        <v>1546</v>
      </c>
      <c r="I30" s="6"/>
      <c r="J30" s="6"/>
    </row>
    <row r="31" spans="1:15" x14ac:dyDescent="0.25">
      <c r="A31" s="86" t="s">
        <v>204</v>
      </c>
      <c r="D31" s="108">
        <v>400000</v>
      </c>
      <c r="E31" s="106">
        <v>400000</v>
      </c>
      <c r="F31" s="6"/>
      <c r="H31" s="12">
        <f>'Street Improvements'!J4</f>
        <v>3818.181818181818</v>
      </c>
      <c r="I31" s="6"/>
      <c r="J31" s="147"/>
      <c r="K31" s="6"/>
      <c r="L31" s="6"/>
      <c r="M31" s="6"/>
      <c r="N31" s="6"/>
    </row>
    <row r="32" spans="1:15" x14ac:dyDescent="0.25">
      <c r="A32" s="86" t="s">
        <v>205</v>
      </c>
      <c r="E32" s="106">
        <f>'Street Improvements'!G13+'Street Improvements'!G15+'Street Improvements'!G52</f>
        <v>280824.6875</v>
      </c>
      <c r="F32" s="6"/>
      <c r="H32" s="12">
        <f>'Street Improvements'!J13+'Street Improvements'!J15</f>
        <v>1178.3025568181818</v>
      </c>
      <c r="J32" s="147"/>
      <c r="K32" s="6"/>
      <c r="L32" s="6"/>
      <c r="M32" s="6"/>
      <c r="N32" s="6"/>
    </row>
    <row r="33" spans="1:15" x14ac:dyDescent="0.25">
      <c r="A33" s="86" t="s">
        <v>155</v>
      </c>
      <c r="E33" s="106">
        <f>'Street Improvements'!G26+'Street Improvements'!G34</f>
        <v>220075</v>
      </c>
      <c r="F33" s="6"/>
      <c r="H33" s="12">
        <f>'Street Improvements'!J26+'Street Improvements'!J34</f>
        <v>1186</v>
      </c>
      <c r="J33" s="147"/>
      <c r="K33" s="6"/>
      <c r="L33" s="6"/>
      <c r="M33" s="6"/>
      <c r="N33" s="6"/>
    </row>
    <row r="34" spans="1:15" x14ac:dyDescent="0.25">
      <c r="A34" s="86" t="s">
        <v>206</v>
      </c>
      <c r="E34" s="106">
        <f>'Street Improvements'!G36+'Street Improvements'!G37+'Street Improvements'!G38+'Street Improvements'!G40+'Street Improvements'!G41+'Street Improvements'!G42+'Street Improvements'!G44+'Street Improvements'!G45+'Street Improvements'!G46</f>
        <v>147550</v>
      </c>
      <c r="F34" s="6"/>
      <c r="H34" s="12">
        <f>'Street Improvements'!J39+'Street Improvements'!J43+'Street Improvements'!J47</f>
        <v>704.21590909090912</v>
      </c>
      <c r="J34" s="86"/>
      <c r="K34" s="6"/>
      <c r="L34" s="6"/>
      <c r="M34" s="6"/>
      <c r="N34" s="6"/>
    </row>
    <row r="35" spans="1:15" ht="15.75" thickBot="1" x14ac:dyDescent="0.3">
      <c r="A35" s="97" t="s">
        <v>202</v>
      </c>
      <c r="B35" s="33"/>
      <c r="C35" s="33"/>
      <c r="D35" s="33"/>
      <c r="E35" s="107">
        <f>'Street Improvements'!G49</f>
        <v>242962.5</v>
      </c>
      <c r="F35" s="121"/>
      <c r="H35" s="12">
        <f>'Street Improvements'!J49</f>
        <v>759.62727272727273</v>
      </c>
      <c r="J35" s="86"/>
      <c r="K35" s="6"/>
      <c r="L35" s="6"/>
      <c r="M35" s="6"/>
      <c r="N35" s="6"/>
    </row>
    <row r="36" spans="1:15" ht="15.75" thickBot="1" x14ac:dyDescent="0.3">
      <c r="A36" s="1" t="s">
        <v>119</v>
      </c>
      <c r="C36" s="116">
        <v>20000</v>
      </c>
      <c r="D36" s="110">
        <v>40000</v>
      </c>
      <c r="E36" s="111">
        <v>40000</v>
      </c>
      <c r="F36" s="111"/>
      <c r="H36" s="12">
        <f>100000/45</f>
        <v>2222.2222222222222</v>
      </c>
    </row>
    <row r="37" spans="1:15" ht="15.75" thickTop="1" x14ac:dyDescent="0.25">
      <c r="A37" s="1"/>
      <c r="C37" s="4"/>
      <c r="D37" s="112"/>
      <c r="E37" s="113"/>
      <c r="F37" s="113"/>
      <c r="H37" s="12"/>
      <c r="K37" s="137" t="s">
        <v>230</v>
      </c>
      <c r="L37" s="136" t="s">
        <v>233</v>
      </c>
      <c r="M37" s="122" t="s">
        <v>244</v>
      </c>
      <c r="N37" s="125" t="s">
        <v>234</v>
      </c>
      <c r="O37" s="122" t="s">
        <v>45</v>
      </c>
    </row>
    <row r="38" spans="1:15" x14ac:dyDescent="0.25">
      <c r="C38" s="6">
        <f>SUM(C5:C36)</f>
        <v>581435.73256354406</v>
      </c>
      <c r="D38" s="6">
        <f>SUM(D5:D36)</f>
        <v>3455847.6948874793</v>
      </c>
      <c r="E38" s="6">
        <f>SUM(E5:E36)</f>
        <v>3448225.1675</v>
      </c>
      <c r="F38" s="6">
        <f>SUM(F5:F36)</f>
        <v>1862500</v>
      </c>
      <c r="H38" s="102">
        <f>SUM(H8:H36)</f>
        <v>50319.223095538713</v>
      </c>
      <c r="J38" s="6">
        <f>SUM(C6:C8)</f>
        <v>0</v>
      </c>
      <c r="K38" s="135" t="s">
        <v>227</v>
      </c>
      <c r="L38" s="133">
        <f>J38*0.545</f>
        <v>0</v>
      </c>
      <c r="M38" s="132">
        <v>0</v>
      </c>
      <c r="N38" s="134">
        <f>J38-L38</f>
        <v>0</v>
      </c>
      <c r="O38" s="132">
        <f>SUM(L38:N38)</f>
        <v>0</v>
      </c>
    </row>
    <row r="39" spans="1:15" x14ac:dyDescent="0.25">
      <c r="H39" s="102">
        <f>H38/2080</f>
        <v>24.191934180547459</v>
      </c>
      <c r="K39" s="131"/>
      <c r="L39" s="133"/>
      <c r="M39" s="132"/>
      <c r="N39" s="134"/>
      <c r="O39" s="132"/>
    </row>
    <row r="40" spans="1:15" x14ac:dyDescent="0.25">
      <c r="E40" s="10"/>
      <c r="F40" s="88">
        <f>SUM(C38:F38)</f>
        <v>9348008.5949510224</v>
      </c>
      <c r="J40" s="6">
        <f>SUM(C36:E36)+SUM(C10:D10)+SUM(D30:E30)</f>
        <v>838868.52</v>
      </c>
      <c r="K40" s="128" t="s">
        <v>238</v>
      </c>
      <c r="L40" s="6">
        <f>J40*0.545</f>
        <v>457183.34340000007</v>
      </c>
      <c r="M40" s="123">
        <f>(J40-L40) *0.9375</f>
        <v>357829.85306249995</v>
      </c>
      <c r="N40" s="126">
        <f>J40-(L40+M40)</f>
        <v>23855.323537499993</v>
      </c>
      <c r="O40" s="123">
        <f>SUM(L40:N40)</f>
        <v>838868.52</v>
      </c>
    </row>
    <row r="41" spans="1:15" x14ac:dyDescent="0.25">
      <c r="K41" s="131"/>
      <c r="L41" s="141"/>
      <c r="M41" s="131"/>
      <c r="N41" s="141"/>
      <c r="O41" s="131"/>
    </row>
    <row r="42" spans="1:15" x14ac:dyDescent="0.25">
      <c r="E42" s="6"/>
      <c r="J42" s="144">
        <f>E32+D11+C11</f>
        <v>1079537.9345499165</v>
      </c>
      <c r="K42" s="135" t="s">
        <v>235</v>
      </c>
      <c r="L42" s="145">
        <f>J42*0.545</f>
        <v>588348.17432970461</v>
      </c>
      <c r="M42" s="132">
        <f>(J42-L42) *0.9375</f>
        <v>460490.40020644868</v>
      </c>
      <c r="N42" s="132">
        <f>J42-(L42+M42)</f>
        <v>30699.360013763187</v>
      </c>
      <c r="O42" s="146">
        <f>SUM(L42:N42)</f>
        <v>1079537.9345499165</v>
      </c>
    </row>
    <row r="43" spans="1:15" x14ac:dyDescent="0.25">
      <c r="K43" s="142"/>
      <c r="M43" s="142"/>
      <c r="O43" s="142"/>
    </row>
    <row r="44" spans="1:15" x14ac:dyDescent="0.25">
      <c r="J44" s="6">
        <f>SUM(D12:D14)+SUM(E12:E14)+F12+C12</f>
        <v>2425330.8437761068</v>
      </c>
      <c r="K44" s="135" t="s">
        <v>239</v>
      </c>
      <c r="L44" s="133">
        <f>J44-(M44+N44)</f>
        <v>98205.780596318655</v>
      </c>
      <c r="M44" s="132">
        <f>(3200000-(J40-L40)-(J42-L42))*0.9375</f>
        <v>2181679.7467310512</v>
      </c>
      <c r="N44" s="134">
        <f>(3200000-(J40-L40)-(J42-L42))*0.0625</f>
        <v>145445.31644873676</v>
      </c>
      <c r="O44" s="132">
        <f>SUM(L44:N44)</f>
        <v>2425330.8437761068</v>
      </c>
    </row>
    <row r="45" spans="1:15" x14ac:dyDescent="0.25">
      <c r="K45" s="131"/>
      <c r="L45" s="133"/>
      <c r="M45" s="132"/>
      <c r="N45" s="134"/>
      <c r="O45" s="132"/>
    </row>
    <row r="46" spans="1:15" x14ac:dyDescent="0.25">
      <c r="J46" s="6">
        <f>SUM(D16:D28)+F20+E20+SUM(C16:C18)</f>
        <v>3593683.7966249995</v>
      </c>
      <c r="K46" s="129" t="s">
        <v>232</v>
      </c>
      <c r="L46" s="6">
        <f>J46*0.4</f>
        <v>1437473.51865</v>
      </c>
      <c r="M46" s="123">
        <v>0</v>
      </c>
      <c r="N46" s="126">
        <f>J46-L46</f>
        <v>2156210.2779749995</v>
      </c>
      <c r="O46" s="123">
        <f>SUM(L46:N46)</f>
        <v>3593683.7966249995</v>
      </c>
    </row>
    <row r="47" spans="1:15" x14ac:dyDescent="0.25">
      <c r="K47" s="131"/>
      <c r="L47" s="133"/>
      <c r="M47" s="132"/>
      <c r="N47" s="134"/>
      <c r="O47" s="132"/>
    </row>
    <row r="48" spans="1:15" x14ac:dyDescent="0.25">
      <c r="J48" s="6">
        <f>SUM(D31:E31)+SUM(E33:E35)</f>
        <v>1410587.5</v>
      </c>
      <c r="K48" s="130" t="s">
        <v>229</v>
      </c>
      <c r="L48" s="118">
        <f>J48*0.54</f>
        <v>761717.25</v>
      </c>
      <c r="M48" s="124">
        <v>0</v>
      </c>
      <c r="N48" s="127">
        <f>J48-L48</f>
        <v>648870.25</v>
      </c>
      <c r="O48" s="124">
        <f>SUM(L48:N48)</f>
        <v>1410587.5</v>
      </c>
    </row>
    <row r="49" spans="10:15" x14ac:dyDescent="0.25">
      <c r="K49" s="138"/>
      <c r="L49" s="6"/>
      <c r="M49" s="6"/>
      <c r="N49" s="140"/>
      <c r="O49" s="126"/>
    </row>
    <row r="50" spans="10:15" x14ac:dyDescent="0.25">
      <c r="J50" s="86"/>
      <c r="K50" s="139" t="s">
        <v>45</v>
      </c>
      <c r="L50" s="118">
        <f>SUM(L38:L48)</f>
        <v>3342928.0669760234</v>
      </c>
      <c r="M50" s="118">
        <f>SUM(M38:M48)</f>
        <v>3000000</v>
      </c>
      <c r="N50" s="124">
        <f>SUM(N38:N48)</f>
        <v>3005080.5279749995</v>
      </c>
      <c r="O50" s="127">
        <f>SUM(O38:O48)</f>
        <v>9348008.5949510224</v>
      </c>
    </row>
    <row r="51" spans="10:15" x14ac:dyDescent="0.25">
      <c r="J51" s="6">
        <f>SUM(J38:J48)</f>
        <v>9348008.5949510224</v>
      </c>
    </row>
    <row r="53" spans="10:15" x14ac:dyDescent="0.25">
      <c r="K53" s="6"/>
    </row>
    <row r="56" spans="10:15" x14ac:dyDescent="0.25">
      <c r="K56" s="6"/>
    </row>
  </sheetData>
  <mergeCells count="1">
    <mergeCell ref="A1:F1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Demo Pricing</vt:lpstr>
      <vt:lpstr>Excavation-Rock</vt:lpstr>
      <vt:lpstr>Concrete-Rebar</vt:lpstr>
      <vt:lpstr>Fencing</vt:lpstr>
      <vt:lpstr>Signs-Stripping</vt:lpstr>
      <vt:lpstr>Street Improvements</vt:lpstr>
      <vt:lpstr>Cargo</vt:lpstr>
      <vt:lpstr>Totals</vt:lpstr>
      <vt:lpstr>Phasing</vt:lpstr>
      <vt:lpstr>Phasing!Print_Area</vt:lpstr>
      <vt:lpstr>Totals!Print_Area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Office Manager</cp:lastModifiedBy>
  <cp:lastPrinted>2021-07-09T15:41:53Z</cp:lastPrinted>
  <dcterms:created xsi:type="dcterms:W3CDTF">2015-06-05T18:17:20Z</dcterms:created>
  <dcterms:modified xsi:type="dcterms:W3CDTF">2023-01-12T22:00:11Z</dcterms:modified>
</cp:coreProperties>
</file>